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265" activeTab="4"/>
  </bookViews>
  <sheets>
    <sheet name="cofog New" sheetId="1" r:id="rId1"/>
    <sheet name="report" sheetId="2" r:id="rId2"/>
    <sheet name="cofog" sheetId="3" r:id="rId3"/>
    <sheet name="Sheet1" sheetId="4" r:id="rId4"/>
    <sheet name="cofog summ" sheetId="5" r:id="rId5"/>
    <sheet name="mgmt ext" sheetId="6" r:id="rId6"/>
    <sheet name="charts" sheetId="7" r:id="rId7"/>
    <sheet name="Sheet2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2">'cofog'!$A$1:$BE$88</definedName>
    <definedName name="_xlnm.Print_Area" localSheetId="5">'mgmt ext'!$A$1:$V$22</definedName>
    <definedName name="_xlnm.Print_Area" localSheetId="1">'report'!$A$1:$G$134</definedName>
    <definedName name="Z_7B422DEB_713D_4E39_9EF6_30F23C96C6FE_.wvu.Cols" localSheetId="2" hidden="1">'cofog'!$B:$D,'cofog'!$J:$L,'cofog'!$O:$BD</definedName>
    <definedName name="Z_7B422DEB_713D_4E39_9EF6_30F23C96C6FE_.wvu.Cols" localSheetId="0" hidden="1">'cofog New'!$B:$D,'cofog New'!$F:$BC</definedName>
    <definedName name="Z_7B422DEB_713D_4E39_9EF6_30F23C96C6FE_.wvu.Cols" localSheetId="5" hidden="1">'mgmt ext'!$B:$P</definedName>
    <definedName name="Z_7B422DEB_713D_4E39_9EF6_30F23C96C6FE_.wvu.Cols" localSheetId="1" hidden="1">'report'!$C:$F</definedName>
    <definedName name="Z_7B422DEB_713D_4E39_9EF6_30F23C96C6FE_.wvu.PrintArea" localSheetId="2" hidden="1">'cofog'!$A$1:$BE$88</definedName>
    <definedName name="Z_7B422DEB_713D_4E39_9EF6_30F23C96C6FE_.wvu.PrintArea" localSheetId="5" hidden="1">'mgmt ext'!$A$1:$V$22</definedName>
    <definedName name="Z_7B422DEB_713D_4E39_9EF6_30F23C96C6FE_.wvu.PrintArea" localSheetId="1" hidden="1">'report'!$A$1:$G$134</definedName>
    <definedName name="Z_7B422DEB_713D_4E39_9EF6_30F23C96C6FE_.wvu.Rows" localSheetId="2" hidden="1">'cofog'!$32:$33,'cofog'!$35:$80</definedName>
    <definedName name="Z_7B422DEB_713D_4E39_9EF6_30F23C96C6FE_.wvu.Rows" localSheetId="0" hidden="1">'cofog New'!$29:$31,'cofog New'!$33:$79</definedName>
    <definedName name="Z_7B422DEB_713D_4E39_9EF6_30F23C96C6FE_.wvu.Rows" localSheetId="5" hidden="1">'mgmt ext'!$46:$48</definedName>
    <definedName name="Z_7B422DEB_713D_4E39_9EF6_30F23C96C6FE_.wvu.Rows" localSheetId="1" hidden="1">'report'!$63:$65,'report'!$85:$85,'report'!$89:$125</definedName>
  </definedNames>
  <calcPr fullCalcOnLoad="1"/>
</workbook>
</file>

<file path=xl/sharedStrings.xml><?xml version="1.0" encoding="utf-8"?>
<sst xmlns="http://schemas.openxmlformats.org/spreadsheetml/2006/main" count="610" uniqueCount="195">
  <si>
    <t>STATEMENT OF PAYMENTS BY PROGRAMME/ACTIVITIES/FUNCTIONS OF GOVERNMENT</t>
  </si>
  <si>
    <t>(Functional Classification of Expenditures by Heads and Items)</t>
  </si>
  <si>
    <t>Actual</t>
  </si>
  <si>
    <t>PAYMENTS/EXPENDITURE</t>
  </si>
  <si>
    <t>Operating Account</t>
  </si>
  <si>
    <t xml:space="preserve">Print outs </t>
  </si>
  <si>
    <t>Education Services</t>
  </si>
  <si>
    <t>Payroll excluding local govt</t>
  </si>
  <si>
    <t>Table id</t>
  </si>
  <si>
    <t>Descrip</t>
  </si>
  <si>
    <t>From</t>
  </si>
  <si>
    <t>to</t>
  </si>
  <si>
    <t>Health services</t>
  </si>
  <si>
    <t>funds</t>
  </si>
  <si>
    <t>fund source (3)</t>
  </si>
  <si>
    <t>000</t>
  </si>
  <si>
    <t>func1</t>
  </si>
  <si>
    <t>CFS func 1(3)</t>
  </si>
  <si>
    <t>Social Security and welfare</t>
  </si>
  <si>
    <t>mdacon</t>
  </si>
  <si>
    <t>MDA/Council (3)</t>
  </si>
  <si>
    <t>obj</t>
  </si>
  <si>
    <t>Obj Code (4)</t>
  </si>
  <si>
    <t>Payroll for local govt</t>
  </si>
  <si>
    <t>Public Order and safety</t>
  </si>
  <si>
    <t>Recreation, Culture and safety</t>
  </si>
  <si>
    <t>Environmental Protection</t>
  </si>
  <si>
    <t>Payroll including local govt and payroll excluding gov't= personnel espenditure</t>
  </si>
  <si>
    <t>Economic services</t>
  </si>
  <si>
    <t>Other charges excluding local Gov't</t>
  </si>
  <si>
    <t>General Public Services</t>
  </si>
  <si>
    <t>Not applicable</t>
  </si>
  <si>
    <t>Total Payments/Expenditure</t>
  </si>
  <si>
    <t>Other charges for local Gov't</t>
  </si>
  <si>
    <t>diff</t>
  </si>
  <si>
    <t>Development Expenditure</t>
  </si>
  <si>
    <t>Other charges excluding local gov't + Other charges for local Gov't - Development= Other charges</t>
  </si>
  <si>
    <t>Development expenditure= as above</t>
  </si>
  <si>
    <t>Budget</t>
  </si>
  <si>
    <t>Jan - Dec</t>
  </si>
  <si>
    <t>Total             Jan - Mar 06</t>
  </si>
  <si>
    <t>Le' m</t>
  </si>
  <si>
    <t>Domestic Revenue Collection</t>
  </si>
  <si>
    <t>Income Tax</t>
  </si>
  <si>
    <t>Customs and Excise</t>
  </si>
  <si>
    <t>Mineral Resources</t>
  </si>
  <si>
    <t>Fisheries</t>
  </si>
  <si>
    <t>Other Departments</t>
  </si>
  <si>
    <t>Road User Charges</t>
  </si>
  <si>
    <t>Total Domestic Revenue</t>
  </si>
  <si>
    <t>Grants Receipts (Direct Grant Budgetary Support)</t>
  </si>
  <si>
    <t>HIPC Debt Relief Assistance</t>
  </si>
  <si>
    <t>Total Grant Receipts</t>
  </si>
  <si>
    <t>OPERATING EXPENSES</t>
  </si>
  <si>
    <t>Wages, Salaries and Employee Benefits</t>
  </si>
  <si>
    <t>Non-Salary, Non-Interest Recurrent Expenditure</t>
  </si>
  <si>
    <t>o/w: National Revenue Authority</t>
  </si>
  <si>
    <t>Grants to Tertiary Educational Institutions</t>
  </si>
  <si>
    <t>Transfer to Road Fund</t>
  </si>
  <si>
    <t>Transfer to Local Government</t>
  </si>
  <si>
    <t>Domestic Development Expenditures</t>
  </si>
  <si>
    <t>Total Operating Expenses</t>
  </si>
  <si>
    <t>Finance Costs</t>
  </si>
  <si>
    <t>Domestic Interest</t>
  </si>
  <si>
    <t>Foreign Interest</t>
  </si>
  <si>
    <t>Arrears Payments</t>
  </si>
  <si>
    <t>Domestic Suppliers</t>
  </si>
  <si>
    <t>Wages Arrears</t>
  </si>
  <si>
    <t>Parastatal Arrears</t>
  </si>
  <si>
    <t>Project Arrears</t>
  </si>
  <si>
    <t>Cheques payable</t>
  </si>
  <si>
    <t>Deductions unpaid and unclaimed</t>
  </si>
  <si>
    <t>Return cheques and advances payment</t>
  </si>
  <si>
    <t>Subsidies</t>
  </si>
  <si>
    <t>Lending minus Repayment</t>
  </si>
  <si>
    <t>Total Non-Operating Revenue/(Expenses)</t>
  </si>
  <si>
    <t>Surplus/(Deficit) from Ordinary Activities</t>
  </si>
  <si>
    <t>Financing Items</t>
  </si>
  <si>
    <t xml:space="preserve">    Net movement in treasury bills and treasury bearer bonds</t>
  </si>
  <si>
    <t>Privatisation Receipts</t>
  </si>
  <si>
    <t>Loan Amortization</t>
  </si>
  <si>
    <t>Total Financing</t>
  </si>
  <si>
    <t>Decrease/(Increase) in Domestic Financing during the period</t>
  </si>
  <si>
    <t>jan</t>
  </si>
  <si>
    <t>mar</t>
  </si>
  <si>
    <t>feb</t>
  </si>
  <si>
    <t>QTR1 &amp; 2</t>
  </si>
  <si>
    <t>Jan</t>
  </si>
  <si>
    <t>planned expenditure</t>
  </si>
  <si>
    <t>non planned expenditure</t>
  </si>
  <si>
    <t>EXPENDITURE</t>
  </si>
  <si>
    <t>Tax revenue</t>
  </si>
  <si>
    <t>non tax revenue</t>
  </si>
  <si>
    <t>Feb</t>
  </si>
  <si>
    <t>Mar</t>
  </si>
  <si>
    <t>Apr</t>
  </si>
  <si>
    <t>May</t>
  </si>
  <si>
    <t>June</t>
  </si>
  <si>
    <t>apr</t>
  </si>
  <si>
    <t>may</t>
  </si>
  <si>
    <t>june</t>
  </si>
  <si>
    <t>Total             Qtr 1</t>
  </si>
  <si>
    <t>Total             QTR 2</t>
  </si>
  <si>
    <t>Others</t>
  </si>
  <si>
    <t xml:space="preserve">QTR1 &amp; 2 Actual     </t>
  </si>
  <si>
    <t>Defence</t>
  </si>
  <si>
    <t>Housing communities amenities</t>
  </si>
  <si>
    <t>Total             QTR 3</t>
  </si>
  <si>
    <t>QTR1 -3</t>
  </si>
  <si>
    <t>Total             QTR 4</t>
  </si>
  <si>
    <t>QTR1 -4</t>
  </si>
  <si>
    <t xml:space="preserve">QTR1-3 Actual     </t>
  </si>
  <si>
    <t>QUARTER 1</t>
  </si>
  <si>
    <t xml:space="preserve">  Personnel Expenditure</t>
  </si>
  <si>
    <t xml:space="preserve">   Other Charges</t>
  </si>
  <si>
    <t xml:space="preserve">  Domestic Development</t>
  </si>
  <si>
    <t xml:space="preserve">    Actual</t>
  </si>
  <si>
    <t>QUARTER 2</t>
  </si>
  <si>
    <t xml:space="preserve"> Personnel Expenditure</t>
  </si>
  <si>
    <t xml:space="preserve"> Other Charges</t>
  </si>
  <si>
    <t>Domestic Development</t>
  </si>
  <si>
    <t>QUARTER 3</t>
  </si>
  <si>
    <t>Personnel Expenditure</t>
  </si>
  <si>
    <t xml:space="preserve">  Other Charges</t>
  </si>
  <si>
    <t>REV</t>
  </si>
  <si>
    <t>for the nine- month period ending 30th September 2006</t>
  </si>
  <si>
    <t>QTR 1-3</t>
  </si>
  <si>
    <t>Disinvestments in Public Enterprise</t>
  </si>
  <si>
    <t>Cumulative change in cash balances</t>
  </si>
  <si>
    <t>QTR 2 Actual</t>
  </si>
  <si>
    <t>QTR1    Actual</t>
  </si>
  <si>
    <t>Other charges</t>
  </si>
  <si>
    <t>Domestic development</t>
  </si>
  <si>
    <t>Personnel</t>
  </si>
  <si>
    <t>total</t>
  </si>
  <si>
    <t>QUARTER 4</t>
  </si>
  <si>
    <t>QTR 3  Actual</t>
  </si>
  <si>
    <t>QTR1-4 Actual</t>
  </si>
  <si>
    <t>QTR4 Actual</t>
  </si>
  <si>
    <t>revised</t>
  </si>
  <si>
    <t>Net movement in treasury bills and treasury bearer bonds</t>
  </si>
  <si>
    <t>Cash Management for Quarter 4-2006</t>
  </si>
  <si>
    <t xml:space="preserve">    Ways &amp; Means</t>
  </si>
  <si>
    <t>MDRI Relief</t>
  </si>
  <si>
    <t>PUBLIC NOTICE</t>
  </si>
  <si>
    <t>Budget for the year</t>
  </si>
  <si>
    <t>BY ORDER</t>
  </si>
  <si>
    <t>Kebbe A. Kouroma</t>
  </si>
  <si>
    <t>Richard S.R Williams</t>
  </si>
  <si>
    <t>Deputy Accountant General</t>
  </si>
  <si>
    <t>Road User Charges &amp; Vehicle Licences</t>
  </si>
  <si>
    <t>STATEMENT OF FISCAL OPERATIONS (CONSOLIDATED FUND)</t>
  </si>
  <si>
    <t>Other Grants Received- External Donors</t>
  </si>
  <si>
    <t>MDRI Relief Transfers</t>
  </si>
  <si>
    <t>Transfers to Local Councils</t>
  </si>
  <si>
    <t>Total Non-Operating Activities</t>
  </si>
  <si>
    <t>Net Cashflows from Operating Activities</t>
  </si>
  <si>
    <t>Net Cashflows from  Activities</t>
  </si>
  <si>
    <t>Increase/ (Decrease) in Bank Balances during the period</t>
  </si>
  <si>
    <t>Total Receipts</t>
  </si>
  <si>
    <t>RICHARD S.R WILLIAMS</t>
  </si>
  <si>
    <t xml:space="preserve">         KEBBE A. KOUROMA</t>
  </si>
  <si>
    <t xml:space="preserve">        Deputy Accountant General</t>
  </si>
  <si>
    <t>(Functional Classification of Expenditures by Heads and Items)for the nine-months period ended 30th September 2008</t>
  </si>
  <si>
    <t>Oct</t>
  </si>
  <si>
    <t>Nov</t>
  </si>
  <si>
    <t>Dec</t>
  </si>
  <si>
    <t>Le m</t>
  </si>
  <si>
    <t>Strategic Stock Fund</t>
  </si>
  <si>
    <t xml:space="preserve"> </t>
  </si>
  <si>
    <t>KEBBE A. KOUROMA</t>
  </si>
  <si>
    <t>Acting Accountant General</t>
  </si>
  <si>
    <t>RICHARD S. WILLIAMS</t>
  </si>
  <si>
    <t>Strategic Petroleum Revenue</t>
  </si>
  <si>
    <t>Accountant General</t>
  </si>
  <si>
    <t>Grants to Educational Institutions</t>
  </si>
  <si>
    <t>Goods and Services Tax</t>
  </si>
  <si>
    <t>Non-MDRI Relief</t>
  </si>
  <si>
    <t>Programme Loans</t>
  </si>
  <si>
    <t xml:space="preserve"> Other Projects (Peace Building)</t>
  </si>
  <si>
    <t>Economic Affairs</t>
  </si>
  <si>
    <t xml:space="preserve"> Global Fund Salary Support</t>
  </si>
  <si>
    <t>Contingency Expenditure</t>
  </si>
  <si>
    <t>Jan 16 - Dec 16</t>
  </si>
  <si>
    <t>Jan 16- Mar 16</t>
  </si>
  <si>
    <t>Actuals for Mar</t>
  </si>
  <si>
    <t>Jan 16- Mar16</t>
  </si>
  <si>
    <t>APRIL</t>
  </si>
  <si>
    <t>ACTUALS</t>
  </si>
  <si>
    <t>JAN 16-APRIL 16</t>
  </si>
  <si>
    <t>In accordance with Section 54(2b) of the Government Budgeting and Accountability Act, 2005 a Statement of Receipts into and the Payments out of Consolidated Fund for the month of April 2016  as compared with Budgetary Estimates for the year is hereby published.</t>
  </si>
  <si>
    <t>for the month  ended 30 April 2016</t>
  </si>
  <si>
    <t>Jan-April 16</t>
  </si>
  <si>
    <t>Jan-Mar 16</t>
  </si>
  <si>
    <t>(Functional Classification of Expenditures by Heads and Items) for the month ended 30 April  2016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</si>
</sst>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(* #,##0_);_(* \(#,##0\);_(* &quot;-&quot;??_);_(@_)"/>
    <numFmt numFmtId="174" formatCode="_-* #,##0.0_-;\-* #,##0.0_-;_-* &quot;-&quot;??_-;_-@_-"/>
    <numFmt numFmtId="175" formatCode="0.0"/>
    <numFmt numFmtId="176" formatCode="0.000"/>
    <numFmt numFmtId="177" formatCode="0.0000"/>
    <numFmt numFmtId="178" formatCode="0.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.000_-;\-* #,##0.000_-;_-* &quot;-&quot;??_-;_-@_-"/>
    <numFmt numFmtId="184" formatCode="_-* #,##0.0000_-;\-* #,##0.0000_-;_-* &quot;-&quot;??_-;_-@_-"/>
    <numFmt numFmtId="185" formatCode="#,##0.0"/>
    <numFmt numFmtId="186" formatCode="#,##0.000"/>
    <numFmt numFmtId="187" formatCode="[$-409]dddd\,\ mmmm\ dd\,\ yyyy"/>
    <numFmt numFmtId="188" formatCode="[$-409]mmm\-yy;@"/>
    <numFmt numFmtId="189" formatCode="[$-F800]dddd\,\ mmmm\ dd\,\ yyyy"/>
    <numFmt numFmtId="190" formatCode="_(* #,##0.0_);_(* \(#,##0.0\);_(* &quot;-&quot;??_);_(@_)"/>
  </numFmts>
  <fonts count="8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3"/>
      <name val="Times New Roman"/>
      <family val="1"/>
    </font>
    <font>
      <b/>
      <sz val="20"/>
      <name val="Arial"/>
      <family val="2"/>
    </font>
    <font>
      <sz val="16"/>
      <name val="Arial"/>
      <family val="2"/>
    </font>
    <font>
      <sz val="10"/>
      <name val="Arial Unicode MS"/>
      <family val="2"/>
    </font>
    <font>
      <i/>
      <sz val="10"/>
      <name val="Arial"/>
      <family val="2"/>
    </font>
    <font>
      <sz val="5.25"/>
      <color indexed="8"/>
      <name val="Arial"/>
      <family val="0"/>
    </font>
    <font>
      <sz val="4"/>
      <color indexed="8"/>
      <name val="Arial"/>
      <family val="0"/>
    </font>
    <font>
      <sz val="9"/>
      <color indexed="8"/>
      <name val="Arial"/>
      <family val="0"/>
    </font>
    <font>
      <sz val="6.9"/>
      <color indexed="8"/>
      <name val="Arial"/>
      <family val="0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6.55"/>
      <color indexed="8"/>
      <name val="Arial"/>
      <family val="0"/>
    </font>
    <font>
      <sz val="5.75"/>
      <color indexed="8"/>
      <name val="Arial"/>
      <family val="0"/>
    </font>
    <font>
      <sz val="4.4"/>
      <color indexed="8"/>
      <name val="Arial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5.35"/>
      <color indexed="8"/>
      <name val="Arial"/>
      <family val="0"/>
    </font>
    <font>
      <sz val="4.6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.5"/>
      <color indexed="8"/>
      <name val="Arial"/>
      <family val="0"/>
    </font>
    <font>
      <b/>
      <sz val="10.25"/>
      <color indexed="8"/>
      <name val="Arial"/>
      <family val="0"/>
    </font>
    <font>
      <b/>
      <sz val="5.75"/>
      <color indexed="8"/>
      <name val="Arial"/>
      <family val="0"/>
    </font>
    <font>
      <b/>
      <sz val="9.25"/>
      <color indexed="8"/>
      <name val="Arial"/>
      <family val="0"/>
    </font>
    <font>
      <b/>
      <sz val="9.5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1.2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3" fontId="3" fillId="0" borderId="10" xfId="42" applyNumberFormat="1" applyFont="1" applyBorder="1" applyAlignment="1">
      <alignment/>
    </xf>
    <xf numFmtId="0" fontId="0" fillId="0" borderId="0" xfId="0" applyAlignment="1" quotePrefix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" fontId="2" fillId="0" borderId="15" xfId="0" applyNumberFormat="1" applyFont="1" applyBorder="1" applyAlignment="1">
      <alignment horizontal="center" vertical="center" wrapText="1"/>
    </xf>
    <xf numFmtId="17" fontId="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 horizontal="left" indent="1"/>
    </xf>
    <xf numFmtId="173" fontId="3" fillId="0" borderId="0" xfId="42" applyNumberFormat="1" applyFont="1" applyBorder="1" applyAlignment="1">
      <alignment/>
    </xf>
    <xf numFmtId="173" fontId="2" fillId="0" borderId="18" xfId="42" applyNumberFormat="1" applyFont="1" applyBorder="1" applyAlignment="1">
      <alignment/>
    </xf>
    <xf numFmtId="173" fontId="2" fillId="0" borderId="19" xfId="42" applyNumberFormat="1" applyFont="1" applyBorder="1" applyAlignment="1">
      <alignment/>
    </xf>
    <xf numFmtId="173" fontId="2" fillId="0" borderId="20" xfId="42" applyNumberFormat="1" applyFont="1" applyBorder="1" applyAlignment="1">
      <alignment/>
    </xf>
    <xf numFmtId="173" fontId="2" fillId="0" borderId="21" xfId="42" applyNumberFormat="1" applyFont="1" applyBorder="1" applyAlignment="1">
      <alignment/>
    </xf>
    <xf numFmtId="173" fontId="2" fillId="0" borderId="22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173" fontId="2" fillId="0" borderId="0" xfId="42" applyNumberFormat="1" applyFont="1" applyBorder="1" applyAlignment="1">
      <alignment/>
    </xf>
    <xf numFmtId="173" fontId="2" fillId="0" borderId="18" xfId="42" applyNumberFormat="1" applyFont="1" applyBorder="1" applyAlignment="1">
      <alignment/>
    </xf>
    <xf numFmtId="0" fontId="3" fillId="0" borderId="10" xfId="0" applyFont="1" applyFill="1" applyBorder="1" applyAlignment="1">
      <alignment horizontal="left" indent="1"/>
    </xf>
    <xf numFmtId="0" fontId="2" fillId="0" borderId="19" xfId="0" applyFont="1" applyBorder="1" applyAlignment="1">
      <alignment/>
    </xf>
    <xf numFmtId="173" fontId="0" fillId="0" borderId="0" xfId="0" applyNumberFormat="1" applyAlignment="1">
      <alignment/>
    </xf>
    <xf numFmtId="173" fontId="3" fillId="0" borderId="10" xfId="42" applyNumberFormat="1" applyFont="1" applyBorder="1" applyAlignment="1">
      <alignment/>
    </xf>
    <xf numFmtId="0" fontId="3" fillId="0" borderId="10" xfId="0" applyFont="1" applyBorder="1" applyAlignment="1">
      <alignment horizontal="left" indent="2"/>
    </xf>
    <xf numFmtId="0" fontId="3" fillId="0" borderId="10" xfId="0" applyFont="1" applyBorder="1" applyAlignment="1">
      <alignment horizontal="left"/>
    </xf>
    <xf numFmtId="173" fontId="2" fillId="0" borderId="13" xfId="42" applyNumberFormat="1" applyFont="1" applyBorder="1" applyAlignment="1">
      <alignment/>
    </xf>
    <xf numFmtId="0" fontId="3" fillId="0" borderId="18" xfId="0" applyFont="1" applyBorder="1" applyAlignment="1">
      <alignment/>
    </xf>
    <xf numFmtId="173" fontId="2" fillId="0" borderId="11" xfId="42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9" xfId="0" applyFont="1" applyBorder="1" applyAlignment="1">
      <alignment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43" fontId="0" fillId="0" borderId="0" xfId="0" applyNumberForma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173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8" fillId="0" borderId="18" xfId="0" applyFont="1" applyBorder="1" applyAlignment="1">
      <alignment/>
    </xf>
    <xf numFmtId="172" fontId="3" fillId="0" borderId="18" xfId="42" applyNumberFormat="1" applyFont="1" applyBorder="1" applyAlignment="1">
      <alignment/>
    </xf>
    <xf numFmtId="172" fontId="2" fillId="0" borderId="24" xfId="42" applyNumberFormat="1" applyFont="1" applyBorder="1" applyAlignment="1">
      <alignment/>
    </xf>
    <xf numFmtId="0" fontId="8" fillId="0" borderId="0" xfId="0" applyFont="1" applyAlignment="1">
      <alignment/>
    </xf>
    <xf numFmtId="43" fontId="3" fillId="0" borderId="0" xfId="0" applyNumberFormat="1" applyFont="1" applyAlignment="1">
      <alignment/>
    </xf>
    <xf numFmtId="172" fontId="3" fillId="0" borderId="0" xfId="42" applyNumberFormat="1" applyFont="1" applyAlignment="1">
      <alignment/>
    </xf>
    <xf numFmtId="172" fontId="2" fillId="0" borderId="25" xfId="42" applyNumberFormat="1" applyFont="1" applyBorder="1" applyAlignment="1">
      <alignment/>
    </xf>
    <xf numFmtId="172" fontId="3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173" fontId="3" fillId="0" borderId="18" xfId="42" applyNumberFormat="1" applyFont="1" applyBorder="1" applyAlignment="1">
      <alignment/>
    </xf>
    <xf numFmtId="172" fontId="2" fillId="0" borderId="0" xfId="42" applyNumberFormat="1" applyFont="1" applyBorder="1" applyAlignment="1">
      <alignment/>
    </xf>
    <xf numFmtId="172" fontId="2" fillId="0" borderId="18" xfId="42" applyNumberFormat="1" applyFont="1" applyBorder="1" applyAlignment="1">
      <alignment/>
    </xf>
    <xf numFmtId="173" fontId="2" fillId="0" borderId="26" xfId="42" applyNumberFormat="1" applyFont="1" applyBorder="1" applyAlignment="1">
      <alignment/>
    </xf>
    <xf numFmtId="172" fontId="2" fillId="0" borderId="27" xfId="42" applyNumberFormat="1" applyFont="1" applyBorder="1" applyAlignment="1">
      <alignment/>
    </xf>
    <xf numFmtId="173" fontId="2" fillId="0" borderId="12" xfId="42" applyNumberFormat="1" applyFont="1" applyBorder="1" applyAlignment="1">
      <alignment/>
    </xf>
    <xf numFmtId="173" fontId="2" fillId="0" borderId="23" xfId="42" applyNumberFormat="1" applyFont="1" applyBorder="1" applyAlignment="1">
      <alignment/>
    </xf>
    <xf numFmtId="0" fontId="0" fillId="0" borderId="14" xfId="0" applyBorder="1" applyAlignment="1">
      <alignment/>
    </xf>
    <xf numFmtId="173" fontId="2" fillId="0" borderId="25" xfId="42" applyNumberFormat="1" applyFont="1" applyBorder="1" applyAlignment="1">
      <alignment/>
    </xf>
    <xf numFmtId="172" fontId="3" fillId="0" borderId="10" xfId="42" applyNumberFormat="1" applyFont="1" applyBorder="1" applyAlignment="1">
      <alignment/>
    </xf>
    <xf numFmtId="172" fontId="2" fillId="0" borderId="28" xfId="42" applyNumberFormat="1" applyFont="1" applyBorder="1" applyAlignment="1">
      <alignment/>
    </xf>
    <xf numFmtId="172" fontId="2" fillId="0" borderId="29" xfId="42" applyNumberFormat="1" applyFont="1" applyBorder="1" applyAlignment="1">
      <alignment/>
    </xf>
    <xf numFmtId="173" fontId="2" fillId="0" borderId="30" xfId="42" applyNumberFormat="1" applyFont="1" applyBorder="1" applyAlignment="1">
      <alignment/>
    </xf>
    <xf numFmtId="0" fontId="0" fillId="0" borderId="10" xfId="0" applyBorder="1" applyAlignment="1">
      <alignment/>
    </xf>
    <xf numFmtId="173" fontId="2" fillId="0" borderId="28" xfId="42" applyNumberFormat="1" applyFont="1" applyBorder="1" applyAlignment="1">
      <alignment/>
    </xf>
    <xf numFmtId="172" fontId="2" fillId="0" borderId="10" xfId="42" applyNumberFormat="1" applyFont="1" applyBorder="1" applyAlignment="1">
      <alignment/>
    </xf>
    <xf numFmtId="4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4" fontId="3" fillId="0" borderId="0" xfId="42" applyNumberFormat="1" applyFont="1" applyAlignment="1">
      <alignment/>
    </xf>
    <xf numFmtId="4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" fontId="9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" fontId="9" fillId="0" borderId="14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7" fontId="9" fillId="0" borderId="13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3" fontId="9" fillId="0" borderId="19" xfId="42" applyNumberFormat="1" applyFont="1" applyBorder="1" applyAlignment="1">
      <alignment/>
    </xf>
    <xf numFmtId="173" fontId="9" fillId="0" borderId="20" xfId="42" applyNumberFormat="1" applyFont="1" applyBorder="1" applyAlignment="1">
      <alignment/>
    </xf>
    <xf numFmtId="173" fontId="9" fillId="0" borderId="22" xfId="42" applyNumberFormat="1" applyFont="1" applyBorder="1" applyAlignment="1">
      <alignment/>
    </xf>
    <xf numFmtId="173" fontId="9" fillId="0" borderId="0" xfId="42" applyNumberFormat="1" applyFont="1" applyBorder="1" applyAlignment="1">
      <alignment/>
    </xf>
    <xf numFmtId="173" fontId="9" fillId="0" borderId="18" xfId="42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4" fillId="0" borderId="0" xfId="0" applyFont="1" applyAlignment="1">
      <alignment horizontal="left" indent="1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2" fontId="3" fillId="0" borderId="18" xfId="0" applyNumberFormat="1" applyFont="1" applyBorder="1" applyAlignment="1">
      <alignment/>
    </xf>
    <xf numFmtId="43" fontId="3" fillId="0" borderId="18" xfId="0" applyNumberFormat="1" applyFont="1" applyBorder="1" applyAlignment="1">
      <alignment/>
    </xf>
    <xf numFmtId="43" fontId="3" fillId="0" borderId="10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0" fontId="2" fillId="0" borderId="15" xfId="0" applyFont="1" applyBorder="1" applyAlignment="1">
      <alignment horizontal="center" wrapText="1"/>
    </xf>
    <xf numFmtId="43" fontId="3" fillId="0" borderId="0" xfId="0" applyNumberFormat="1" applyFont="1" applyBorder="1" applyAlignment="1">
      <alignment/>
    </xf>
    <xf numFmtId="172" fontId="5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172" fontId="3" fillId="0" borderId="0" xfId="0" applyNumberFormat="1" applyFont="1" applyAlignment="1">
      <alignment/>
    </xf>
    <xf numFmtId="0" fontId="12" fillId="0" borderId="1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0" fillId="0" borderId="17" xfId="0" applyBorder="1" applyAlignment="1">
      <alignment/>
    </xf>
    <xf numFmtId="17" fontId="9" fillId="0" borderId="1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172" fontId="2" fillId="0" borderId="31" xfId="42" applyNumberFormat="1" applyFont="1" applyBorder="1" applyAlignment="1">
      <alignment/>
    </xf>
    <xf numFmtId="173" fontId="2" fillId="0" borderId="32" xfId="42" applyNumberFormat="1" applyFont="1" applyBorder="1" applyAlignment="1">
      <alignment/>
    </xf>
    <xf numFmtId="173" fontId="2" fillId="0" borderId="24" xfId="42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3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3" fillId="0" borderId="3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0" xfId="0" applyFont="1" applyBorder="1" applyAlignment="1">
      <alignment/>
    </xf>
    <xf numFmtId="37" fontId="3" fillId="0" borderId="0" xfId="0" applyNumberFormat="1" applyFont="1" applyAlignment="1">
      <alignment/>
    </xf>
    <xf numFmtId="0" fontId="13" fillId="0" borderId="0" xfId="0" applyFont="1" applyAlignment="1">
      <alignment/>
    </xf>
    <xf numFmtId="37" fontId="13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28" xfId="0" applyFont="1" applyBorder="1" applyAlignment="1">
      <alignment/>
    </xf>
    <xf numFmtId="173" fontId="3" fillId="0" borderId="17" xfId="42" applyNumberFormat="1" applyFont="1" applyBorder="1" applyAlignment="1">
      <alignment/>
    </xf>
    <xf numFmtId="43" fontId="3" fillId="0" borderId="17" xfId="0" applyNumberFormat="1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left" indent="3"/>
    </xf>
    <xf numFmtId="0" fontId="1" fillId="0" borderId="19" xfId="0" applyFont="1" applyBorder="1" applyAlignment="1">
      <alignment wrapText="1"/>
    </xf>
    <xf numFmtId="0" fontId="0" fillId="0" borderId="0" xfId="0" applyFont="1" applyFill="1" applyBorder="1" applyAlignment="1">
      <alignment horizontal="left" indent="3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/>
    </xf>
    <xf numFmtId="0" fontId="14" fillId="0" borderId="19" xfId="0" applyFont="1" applyBorder="1" applyAlignment="1">
      <alignment horizontal="center" wrapText="1"/>
    </xf>
    <xf numFmtId="0" fontId="15" fillId="0" borderId="13" xfId="0" applyFont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17" fontId="14" fillId="0" borderId="15" xfId="0" applyNumberFormat="1" applyFont="1" applyBorder="1" applyAlignment="1">
      <alignment horizontal="center" vertical="center" wrapText="1"/>
    </xf>
    <xf numFmtId="17" fontId="14" fillId="0" borderId="1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left" indent="1"/>
    </xf>
    <xf numFmtId="173" fontId="15" fillId="0" borderId="10" xfId="42" applyNumberFormat="1" applyFont="1" applyBorder="1" applyAlignment="1">
      <alignment/>
    </xf>
    <xf numFmtId="173" fontId="15" fillId="0" borderId="17" xfId="42" applyNumberFormat="1" applyFont="1" applyBorder="1" applyAlignment="1">
      <alignment/>
    </xf>
    <xf numFmtId="173" fontId="15" fillId="0" borderId="0" xfId="42" applyNumberFormat="1" applyFont="1" applyBorder="1" applyAlignment="1">
      <alignment/>
    </xf>
    <xf numFmtId="173" fontId="15" fillId="0" borderId="18" xfId="42" applyNumberFormat="1" applyFont="1" applyBorder="1" applyAlignment="1">
      <alignment/>
    </xf>
    <xf numFmtId="0" fontId="15" fillId="0" borderId="13" xfId="0" applyFont="1" applyBorder="1" applyAlignment="1">
      <alignment horizontal="left" indent="1"/>
    </xf>
    <xf numFmtId="0" fontId="15" fillId="0" borderId="15" xfId="0" applyFont="1" applyBorder="1" applyAlignment="1">
      <alignment/>
    </xf>
    <xf numFmtId="0" fontId="15" fillId="0" borderId="19" xfId="0" applyFont="1" applyBorder="1" applyAlignment="1">
      <alignment/>
    </xf>
    <xf numFmtId="173" fontId="14" fillId="0" borderId="20" xfId="42" applyNumberFormat="1" applyFont="1" applyBorder="1" applyAlignment="1">
      <alignment/>
    </xf>
    <xf numFmtId="173" fontId="14" fillId="0" borderId="21" xfId="42" applyNumberFormat="1" applyFont="1" applyBorder="1" applyAlignment="1">
      <alignment/>
    </xf>
    <xf numFmtId="173" fontId="14" fillId="0" borderId="0" xfId="42" applyNumberFormat="1" applyFont="1" applyBorder="1" applyAlignment="1">
      <alignment/>
    </xf>
    <xf numFmtId="173" fontId="14" fillId="0" borderId="17" xfId="42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left" indent="1"/>
    </xf>
    <xf numFmtId="173" fontId="14" fillId="0" borderId="18" xfId="42" applyNumberFormat="1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173" fontId="14" fillId="0" borderId="10" xfId="42" applyNumberFormat="1" applyFont="1" applyBorder="1" applyAlignment="1">
      <alignment/>
    </xf>
    <xf numFmtId="173" fontId="15" fillId="0" borderId="10" xfId="42" applyNumberFormat="1" applyFont="1" applyBorder="1" applyAlignment="1">
      <alignment/>
    </xf>
    <xf numFmtId="173" fontId="15" fillId="0" borderId="0" xfId="42" applyNumberFormat="1" applyFont="1" applyBorder="1" applyAlignment="1">
      <alignment/>
    </xf>
    <xf numFmtId="0" fontId="15" fillId="0" borderId="10" xfId="0" applyFont="1" applyBorder="1" applyAlignment="1">
      <alignment horizontal="left" indent="3"/>
    </xf>
    <xf numFmtId="173" fontId="15" fillId="0" borderId="17" xfId="42" applyNumberFormat="1" applyFont="1" applyBorder="1" applyAlignment="1">
      <alignment/>
    </xf>
    <xf numFmtId="173" fontId="14" fillId="0" borderId="19" xfId="42" applyNumberFormat="1" applyFont="1" applyBorder="1" applyAlignment="1">
      <alignment/>
    </xf>
    <xf numFmtId="173" fontId="14" fillId="0" borderId="22" xfId="42" applyNumberFormat="1" applyFont="1" applyBorder="1" applyAlignment="1">
      <alignment/>
    </xf>
    <xf numFmtId="0" fontId="15" fillId="0" borderId="20" xfId="0" applyFont="1" applyBorder="1" applyAlignment="1">
      <alignment/>
    </xf>
    <xf numFmtId="0" fontId="14" fillId="0" borderId="11" xfId="0" applyFont="1" applyBorder="1" applyAlignment="1">
      <alignment/>
    </xf>
    <xf numFmtId="173" fontId="14" fillId="0" borderId="11" xfId="42" applyNumberFormat="1" applyFont="1" applyBorder="1" applyAlignment="1">
      <alignment/>
    </xf>
    <xf numFmtId="173" fontId="14" fillId="0" borderId="23" xfId="42" applyNumberFormat="1" applyFont="1" applyBorder="1" applyAlignment="1">
      <alignment/>
    </xf>
    <xf numFmtId="0" fontId="15" fillId="0" borderId="10" xfId="0" applyFont="1" applyBorder="1" applyAlignment="1">
      <alignment horizontal="left" indent="2"/>
    </xf>
    <xf numFmtId="0" fontId="15" fillId="0" borderId="10" xfId="0" applyFont="1" applyBorder="1" applyAlignment="1">
      <alignment horizontal="left"/>
    </xf>
    <xf numFmtId="173" fontId="14" fillId="0" borderId="16" xfId="42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5" fillId="0" borderId="17" xfId="0" applyFont="1" applyFill="1" applyBorder="1" applyAlignment="1">
      <alignment horizontal="left" indent="1"/>
    </xf>
    <xf numFmtId="173" fontId="15" fillId="0" borderId="15" xfId="42" applyNumberFormat="1" applyFont="1" applyBorder="1" applyAlignment="1">
      <alignment/>
    </xf>
    <xf numFmtId="173" fontId="15" fillId="0" borderId="14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4" fillId="0" borderId="15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5" fillId="0" borderId="2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43" fontId="15" fillId="0" borderId="0" xfId="0" applyNumberFormat="1" applyFont="1" applyAlignment="1">
      <alignment/>
    </xf>
    <xf numFmtId="172" fontId="15" fillId="0" borderId="0" xfId="42" applyNumberFormat="1" applyFont="1" applyBorder="1" applyAlignment="1">
      <alignment/>
    </xf>
    <xf numFmtId="43" fontId="15" fillId="0" borderId="0" xfId="0" applyNumberFormat="1" applyFont="1" applyBorder="1" applyAlignment="1">
      <alignment/>
    </xf>
    <xf numFmtId="172" fontId="15" fillId="0" borderId="0" xfId="42" applyNumberFormat="1" applyFont="1" applyAlignment="1">
      <alignment/>
    </xf>
    <xf numFmtId="0" fontId="15" fillId="0" borderId="13" xfId="0" applyFont="1" applyBorder="1" applyAlignment="1">
      <alignment/>
    </xf>
    <xf numFmtId="172" fontId="14" fillId="0" borderId="28" xfId="42" applyNumberFormat="1" applyFont="1" applyBorder="1" applyAlignment="1">
      <alignment/>
    </xf>
    <xf numFmtId="172" fontId="14" fillId="0" borderId="25" xfId="42" applyNumberFormat="1" applyFont="1" applyBorder="1" applyAlignment="1">
      <alignment/>
    </xf>
    <xf numFmtId="172" fontId="14" fillId="0" borderId="34" xfId="42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indent="1"/>
    </xf>
    <xf numFmtId="0" fontId="3" fillId="0" borderId="23" xfId="0" applyFont="1" applyBorder="1" applyAlignment="1">
      <alignment/>
    </xf>
    <xf numFmtId="0" fontId="14" fillId="0" borderId="16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172" fontId="14" fillId="0" borderId="0" xfId="42" applyNumberFormat="1" applyFont="1" applyBorder="1" applyAlignment="1">
      <alignment/>
    </xf>
    <xf numFmtId="172" fontId="1" fillId="0" borderId="0" xfId="0" applyNumberFormat="1" applyFont="1" applyAlignment="1">
      <alignment/>
    </xf>
    <xf numFmtId="173" fontId="3" fillId="0" borderId="13" xfId="42" applyNumberFormat="1" applyFont="1" applyBorder="1" applyAlignment="1">
      <alignment/>
    </xf>
    <xf numFmtId="172" fontId="20" fillId="0" borderId="0" xfId="42" applyNumberFormat="1" applyFont="1" applyAlignment="1">
      <alignment horizontal="left" indent="1"/>
    </xf>
    <xf numFmtId="172" fontId="14" fillId="0" borderId="15" xfId="42" applyNumberFormat="1" applyFont="1" applyBorder="1" applyAlignment="1">
      <alignment horizontal="center" wrapText="1"/>
    </xf>
    <xf numFmtId="172" fontId="14" fillId="0" borderId="14" xfId="42" applyNumberFormat="1" applyFont="1" applyBorder="1" applyAlignment="1">
      <alignment horizontal="center" wrapText="1"/>
    </xf>
    <xf numFmtId="172" fontId="14" fillId="0" borderId="20" xfId="42" applyNumberFormat="1" applyFont="1" applyBorder="1" applyAlignment="1">
      <alignment horizontal="center"/>
    </xf>
    <xf numFmtId="172" fontId="17" fillId="0" borderId="0" xfId="42" applyNumberFormat="1" applyFont="1" applyBorder="1" applyAlignment="1">
      <alignment/>
    </xf>
    <xf numFmtId="172" fontId="15" fillId="0" borderId="10" xfId="42" applyNumberFormat="1" applyFont="1" applyBorder="1" applyAlignment="1">
      <alignment/>
    </xf>
    <xf numFmtId="172" fontId="18" fillId="0" borderId="0" xfId="42" applyNumberFormat="1" applyFont="1" applyAlignment="1">
      <alignment/>
    </xf>
    <xf numFmtId="173" fontId="15" fillId="0" borderId="13" xfId="42" applyNumberFormat="1" applyFont="1" applyBorder="1" applyAlignment="1">
      <alignment/>
    </xf>
    <xf numFmtId="0" fontId="15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15" fillId="0" borderId="13" xfId="0" applyFont="1" applyFill="1" applyBorder="1" applyAlignment="1">
      <alignment horizontal="left" indent="1"/>
    </xf>
    <xf numFmtId="173" fontId="15" fillId="0" borderId="13" xfId="42" applyNumberFormat="1" applyFont="1" applyBorder="1" applyAlignment="1">
      <alignment/>
    </xf>
    <xf numFmtId="0" fontId="14" fillId="0" borderId="19" xfId="0" applyFont="1" applyBorder="1" applyAlignment="1">
      <alignment wrapText="1"/>
    </xf>
    <xf numFmtId="0" fontId="18" fillId="0" borderId="0" xfId="0" applyFont="1" applyAlignment="1">
      <alignment/>
    </xf>
    <xf numFmtId="0" fontId="14" fillId="0" borderId="22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1" xfId="0" applyFont="1" applyFill="1" applyBorder="1" applyAlignment="1">
      <alignment horizontal="left" indent="1"/>
    </xf>
    <xf numFmtId="0" fontId="14" fillId="0" borderId="20" xfId="0" applyFont="1" applyBorder="1" applyAlignment="1">
      <alignment/>
    </xf>
    <xf numFmtId="173" fontId="15" fillId="0" borderId="10" xfId="42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0" fontId="15" fillId="0" borderId="0" xfId="0" applyFont="1" applyBorder="1" applyAlignment="1">
      <alignment horizontal="left"/>
    </xf>
    <xf numFmtId="173" fontId="14" fillId="0" borderId="14" xfId="42" applyNumberFormat="1" applyFont="1" applyBorder="1" applyAlignment="1">
      <alignment/>
    </xf>
    <xf numFmtId="0" fontId="14" fillId="0" borderId="23" xfId="0" applyFont="1" applyBorder="1" applyAlignment="1">
      <alignment horizontal="center"/>
    </xf>
    <xf numFmtId="172" fontId="15" fillId="0" borderId="0" xfId="42" applyNumberFormat="1" applyFont="1" applyAlignment="1">
      <alignment/>
    </xf>
    <xf numFmtId="172" fontId="15" fillId="0" borderId="0" xfId="42" applyNumberFormat="1" applyFont="1" applyFill="1" applyBorder="1" applyAlignment="1">
      <alignment/>
    </xf>
    <xf numFmtId="0" fontId="15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5" fillId="0" borderId="0" xfId="0" applyFont="1" applyAlignment="1">
      <alignment horizontal="justify"/>
    </xf>
    <xf numFmtId="0" fontId="15" fillId="0" borderId="0" xfId="0" applyFont="1" applyAlignment="1">
      <alignment/>
    </xf>
    <xf numFmtId="173" fontId="15" fillId="0" borderId="0" xfId="42" applyNumberFormat="1" applyFont="1" applyBorder="1" applyAlignment="1">
      <alignment horizontal="center"/>
    </xf>
    <xf numFmtId="0" fontId="15" fillId="0" borderId="18" xfId="0" applyFont="1" applyBorder="1" applyAlignment="1">
      <alignment/>
    </xf>
    <xf numFmtId="43" fontId="15" fillId="0" borderId="0" xfId="0" applyNumberFormat="1" applyFont="1" applyAlignment="1">
      <alignment/>
    </xf>
    <xf numFmtId="173" fontId="14" fillId="0" borderId="13" xfId="42" applyNumberFormat="1" applyFont="1" applyBorder="1" applyAlignment="1">
      <alignment/>
    </xf>
    <xf numFmtId="172" fontId="14" fillId="0" borderId="0" xfId="42" applyNumberFormat="1" applyFont="1" applyBorder="1" applyAlignment="1">
      <alignment/>
    </xf>
    <xf numFmtId="172" fontId="15" fillId="0" borderId="0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172" fontId="0" fillId="0" borderId="0" xfId="42" applyNumberFormat="1" applyFont="1" applyFill="1" applyBorder="1" applyAlignment="1">
      <alignment/>
    </xf>
    <xf numFmtId="173" fontId="0" fillId="0" borderId="10" xfId="42" applyNumberFormat="1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0" xfId="42" applyNumberFormat="1" applyFont="1" applyFill="1" applyBorder="1" applyAlignment="1">
      <alignment horizontal="center"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0" xfId="0" applyFont="1" applyBorder="1" applyAlignment="1">
      <alignment/>
    </xf>
    <xf numFmtId="0" fontId="19" fillId="0" borderId="0" xfId="0" applyFont="1" applyAlignment="1">
      <alignment/>
    </xf>
    <xf numFmtId="0" fontId="1" fillId="0" borderId="19" xfId="0" applyFont="1" applyBorder="1" applyAlignment="1">
      <alignment/>
    </xf>
    <xf numFmtId="16" fontId="1" fillId="0" borderId="19" xfId="0" applyNumberFormat="1" applyFont="1" applyBorder="1" applyAlignment="1">
      <alignment horizontal="center"/>
    </xf>
    <xf numFmtId="37" fontId="15" fillId="0" borderId="0" xfId="0" applyNumberFormat="1" applyFont="1" applyAlignment="1">
      <alignment/>
    </xf>
    <xf numFmtId="173" fontId="15" fillId="0" borderId="0" xfId="0" applyNumberFormat="1" applyFont="1" applyAlignment="1">
      <alignment/>
    </xf>
    <xf numFmtId="0" fontId="0" fillId="0" borderId="22" xfId="0" applyBorder="1" applyAlignment="1">
      <alignment/>
    </xf>
    <xf numFmtId="16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173" fontId="15" fillId="0" borderId="19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 horizontal="center"/>
    </xf>
    <xf numFmtId="171" fontId="15" fillId="0" borderId="0" xfId="0" applyNumberFormat="1" applyFont="1" applyAlignment="1">
      <alignment/>
    </xf>
    <xf numFmtId="37" fontId="15" fillId="0" borderId="10" xfId="0" applyNumberFormat="1" applyFont="1" applyBorder="1" applyAlignment="1">
      <alignment/>
    </xf>
    <xf numFmtId="37" fontId="15" fillId="0" borderId="13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3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21" fillId="0" borderId="33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2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72" fontId="14" fillId="0" borderId="21" xfId="42" applyNumberFormat="1" applyFont="1" applyBorder="1" applyAlignment="1">
      <alignment horizontal="center" wrapText="1"/>
    </xf>
    <xf numFmtId="172" fontId="14" fillId="0" borderId="20" xfId="42" applyNumberFormat="1" applyFont="1" applyFill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172" fontId="14" fillId="0" borderId="34" xfId="42" applyNumberFormat="1" applyFont="1" applyBorder="1" applyAlignment="1">
      <alignment/>
    </xf>
    <xf numFmtId="172" fontId="15" fillId="0" borderId="10" xfId="42" applyNumberFormat="1" applyFont="1" applyBorder="1" applyAlignment="1">
      <alignment/>
    </xf>
    <xf numFmtId="172" fontId="15" fillId="0" borderId="13" xfId="42" applyNumberFormat="1" applyFont="1" applyBorder="1" applyAlignment="1">
      <alignment/>
    </xf>
    <xf numFmtId="0" fontId="18" fillId="0" borderId="0" xfId="0" applyFont="1" applyAlignment="1">
      <alignment/>
    </xf>
    <xf numFmtId="0" fontId="14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2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0" xfId="0" applyFont="1" applyAlignment="1">
      <alignment/>
    </xf>
    <xf numFmtId="0" fontId="21" fillId="0" borderId="21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2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theme" Target="theme/theme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Planned Expenditure (Quarter 3, 2006)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65"/>
          <c:y val="0.2515"/>
          <c:w val="0.31225"/>
          <c:h val="0.6805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report!#REF!</c:f>
            </c:strRef>
          </c:cat>
          <c:val>
            <c:numRef>
              <c:f>report!#REF!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875"/>
          <c:y val="0.59175"/>
          <c:w val="0.022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Domestic Revenue (Quarter 2 2006)</a:t>
            </a:r>
          </a:p>
        </c:rich>
      </c:tx>
      <c:layout>
        <c:manualLayout>
          <c:xMode val="factor"/>
          <c:yMode val="factor"/>
          <c:x val="0.01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725"/>
          <c:y val="0.30925"/>
          <c:w val="0.3775"/>
          <c:h val="0.50575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report!#REF!</c:f>
            </c:strRef>
          </c:cat>
          <c:val>
            <c:numRef>
              <c:f>report!#REF!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"/>
          <c:y val="0.34775"/>
          <c:w val="0.31175"/>
          <c:h val="0.5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Operating Expenses (Quarter 2-2006)</a:t>
            </a:r>
          </a:p>
        </c:rich>
      </c:tx>
      <c:layout>
        <c:manualLayout>
          <c:xMode val="factor"/>
          <c:yMode val="factor"/>
          <c:x val="-0.16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26475"/>
          <c:w val="0.48575"/>
          <c:h val="0.601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report!#REF!</c:f>
            </c:strRef>
          </c:cat>
          <c:val>
            <c:numRef>
              <c:f>report!#REF!</c:f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025"/>
          <c:y val="0.1015"/>
          <c:w val="0.348"/>
          <c:h val="0.8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cash balances 
(QUARTER 2, 2006)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5"/>
          <c:w val="0.76125"/>
          <c:h val="0.74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report!#REF!</c:f>
            </c:strRef>
          </c:cat>
          <c:val>
            <c:numRef>
              <c:f>report!#REF!</c:f>
            </c:numRef>
          </c:val>
          <c:smooth val="0"/>
        </c:ser>
        <c:marker val="1"/>
        <c:axId val="39459236"/>
        <c:axId val="19588805"/>
      </c:lineChart>
      <c:catAx>
        <c:axId val="3945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.0195"/>
              <c:y val="0.0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8805"/>
        <c:crosses val="autoZero"/>
        <c:auto val="1"/>
        <c:lblOffset val="100"/>
        <c:tickLblSkip val="1"/>
        <c:noMultiLvlLbl val="0"/>
      </c:catAx>
      <c:valAx>
        <c:axId val="1958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(millions)</a:t>
                </a:r>
              </a:p>
            </c:rich>
          </c:tx>
          <c:layout>
            <c:manualLayout>
              <c:xMode val="factor"/>
              <c:yMode val="factor"/>
              <c:x val="0.012"/>
              <c:y val="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9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56575"/>
          <c:w val="0.169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 Planned Expenditure ( Quarter 2-2006)</a:t>
            </a:r>
          </a:p>
        </c:rich>
      </c:tx>
      <c:layout>
        <c:manualLayout>
          <c:xMode val="factor"/>
          <c:yMode val="factor"/>
          <c:x val="-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"/>
          <c:y val="0.228"/>
          <c:w val="0.38525"/>
          <c:h val="0.714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report!$G$96:$G$98</c:f>
            </c:strRef>
          </c:cat>
          <c:val>
            <c:numRef>
              <c:f>report!#REF!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85"/>
          <c:y val="0.58475"/>
          <c:w val="0.022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Planned Expenditure (Quarter 2-2006)</a:t>
            </a:r>
          </a:p>
        </c:rich>
      </c:tx>
      <c:layout>
        <c:manualLayout>
          <c:xMode val="factor"/>
          <c:yMode val="factor"/>
          <c:x val="-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15"/>
          <c:y val="0.22975"/>
          <c:w val="0.35775"/>
          <c:h val="0.70825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report!$G$101:$G$103</c:f>
            </c:strRef>
          </c:cat>
          <c:val>
            <c:numRef>
              <c:f>report!#REF!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825"/>
          <c:y val="0.57775"/>
          <c:w val="0.02225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(Quarter 2-2006)</a:t>
            </a:r>
          </a:p>
        </c:rich>
      </c:tx>
      <c:layout>
        <c:manualLayout>
          <c:xMode val="factor"/>
          <c:yMode val="factor"/>
          <c:x val="-0.2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35"/>
          <c:y val="0.395"/>
          <c:w val="0.32"/>
          <c:h val="0.52025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report!$G$107:$G$114</c:f>
            </c:strRef>
          </c:cat>
          <c:val>
            <c:numRef>
              <c:f>report!#REF!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275"/>
          <c:y val="0.53875"/>
          <c:w val="0.01825"/>
          <c:h val="0.0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 REVENUE (QUARTER 2-2006)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475"/>
          <c:y val="0.2145"/>
          <c:w val="0.37575"/>
          <c:h val="0.729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report!$G$118:$G$120</c:f>
            </c:strRef>
          </c:cat>
          <c:val>
            <c:numRef>
              <c:f>report!#REF!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1"/>
          <c:y val="0.5705"/>
          <c:w val="0.02025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 TAX REVENUE (QUARTER 2-2006)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745"/>
          <c:w val="0.79275"/>
          <c:h val="0.7847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report!$G$123:$G$125</c:f>
            </c:strRef>
          </c:cat>
          <c:val>
            <c:numRef>
              <c:f>report!#REF!</c:f>
            </c:numRef>
          </c:val>
        </c:ser>
        <c:overlap val="100"/>
        <c:axId val="42081518"/>
        <c:axId val="43189343"/>
      </c:barChart>
      <c:catAx>
        <c:axId val="4208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.02875"/>
              <c:y val="0.0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89343"/>
        <c:crosses val="autoZero"/>
        <c:auto val="1"/>
        <c:lblOffset val="100"/>
        <c:tickLblSkip val="1"/>
        <c:noMultiLvlLbl val="0"/>
      </c:catAx>
      <c:valAx>
        <c:axId val="4318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(LE)</a:t>
                </a:r>
              </a:p>
            </c:rich>
          </c:tx>
          <c:layout>
            <c:manualLayout>
              <c:xMode val="factor"/>
              <c:yMode val="factor"/>
              <c:x val="0.014"/>
              <c:y val="0.02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81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75"/>
          <c:y val="0.5265"/>
          <c:w val="0.1427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Domestic Revenue (Quarter 3 2006)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"/>
          <c:y val="0.3865"/>
          <c:w val="0.266"/>
          <c:h val="0.3595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report!#REF!</c:f>
            </c:strRef>
          </c:cat>
          <c:val>
            <c:numRef>
              <c:f>report!#REF!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2"/>
          <c:y val="0.2415"/>
          <c:w val="0.42325"/>
          <c:h val="0.6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Operating Expenses (Quarter 3, 2006)</a:t>
            </a:r>
          </a:p>
        </c:rich>
      </c:tx>
      <c:layout>
        <c:manualLayout>
          <c:xMode val="factor"/>
          <c:yMode val="factor"/>
          <c:x val="-0.156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45"/>
          <c:w val="0.49225"/>
          <c:h val="0.66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report!#REF!</c:f>
            </c:strRef>
          </c:cat>
          <c:val>
            <c:numRef>
              <c:f>report!#REF!</c:f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"/>
          <c:y val="0.028"/>
          <c:w val="0.351"/>
          <c:h val="0.9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Domestic Revenue (Quarter 1 2006)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275"/>
          <c:y val="0.157"/>
          <c:w val="0.92875"/>
          <c:h val="0.80475"/>
        </c:manualLayout>
      </c:layout>
      <c:pie3D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report!$A$95:$A$100</c:f>
            </c:strRef>
          </c:cat>
          <c:val>
            <c:numRef>
              <c:f>report!$B$95:$B$100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7"/>
          <c:y val="0.5555"/>
          <c:w val="0.016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cash balances (QUARTER 3, 2006)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4"/>
          <c:w val="0.9455"/>
          <c:h val="0.80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report!#REF!</c:f>
            </c:strRef>
          </c:cat>
          <c:val>
            <c:numRef>
              <c:f>report!#REF!</c:f>
            </c:numRef>
          </c:val>
          <c:smooth val="0"/>
        </c:ser>
        <c:marker val="1"/>
        <c:axId val="53159768"/>
        <c:axId val="8675865"/>
      </c:lineChart>
      <c:catAx>
        <c:axId val="5315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.02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8675865"/>
        <c:crosses val="autoZero"/>
        <c:auto val="1"/>
        <c:lblOffset val="100"/>
        <c:tickLblSkip val="1"/>
        <c:noMultiLvlLbl val="0"/>
      </c:catAx>
      <c:valAx>
        <c:axId val="867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(Millions)</a:t>
                </a:r>
              </a:p>
            </c:rich>
          </c:tx>
          <c:layout>
            <c:manualLayout>
              <c:xMode val="factor"/>
              <c:yMode val="factor"/>
              <c:x val="0.012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59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 Planned Expenditure (Quarter 3, 2006)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75"/>
          <c:y val="0.21825"/>
          <c:w val="0.4095"/>
          <c:h val="0.72425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report!#REF!</c:f>
            </c:strRef>
          </c:cat>
          <c:val>
            <c:numRef>
              <c:f>report!#REF!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725"/>
          <c:y val="0.5805"/>
          <c:w val="0.023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(Quarter3, 2006)</a:t>
            </a:r>
          </a:p>
        </c:rich>
      </c:tx>
      <c:layout>
        <c:manualLayout>
          <c:xMode val="factor"/>
          <c:yMode val="factor"/>
          <c:x val="-0.2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9"/>
          <c:y val="0.33825"/>
          <c:w val="0.2645"/>
          <c:h val="0.47875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report!#REF!</c:f>
            </c:strRef>
          </c:cat>
          <c:val>
            <c:numRef>
              <c:f>report!#REF!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"/>
          <c:y val="0.04125"/>
          <c:w val="0.33475"/>
          <c:h val="0.9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 Revenue (QUARTER 3-2006)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4"/>
          <c:y val="0.229"/>
          <c:w val="0.42375"/>
          <c:h val="0.706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report!#REF!</c:f>
            </c:strRef>
          </c:cat>
          <c:val>
            <c:numRef>
              <c:f>report!#REF!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45"/>
          <c:y val="0.58575"/>
          <c:w val="0.02475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 TAX REVENUE (QUARTER 3-2006)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8475"/>
          <c:w val="0.7567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report!#REF!</c:f>
            </c:strRef>
          </c:cat>
          <c:val>
            <c:numRef>
              <c:f>report!#REF!</c:f>
            </c:numRef>
          </c:val>
        </c:ser>
        <c:axId val="10973922"/>
        <c:axId val="31656435"/>
      </c:barChart>
      <c:catAx>
        <c:axId val="10973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.034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(LE)</a:t>
                </a:r>
              </a:p>
            </c:rich>
          </c:tx>
          <c:layout>
            <c:manualLayout>
              <c:xMode val="factor"/>
              <c:yMode val="factor"/>
              <c:x val="0.0172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3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51925"/>
          <c:w val="0.1682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Operating Expenses (Quarter 1-2006)</a:t>
            </a:r>
          </a:p>
        </c:rich>
      </c:tx>
      <c:layout>
        <c:manualLayout>
          <c:xMode val="factor"/>
          <c:yMode val="factor"/>
          <c:x val="-0.18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24075"/>
          <c:w val="0.39575"/>
          <c:h val="0.6712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report!$A$104:$A$110</c:f>
            </c:strRef>
          </c:cat>
          <c:val>
            <c:numRef>
              <c:f>report!$B$104:$B$110</c:f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3"/>
          <c:y val="0.47525"/>
          <c:w val="0.0145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cash balances
(Quarter 1 2006)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22175"/>
          <c:w val="0.7575"/>
          <c:h val="0.7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report!$A$112:$A$114</c:f>
            </c:strRef>
          </c:cat>
          <c:val>
            <c:numRef>
              <c:f>report!$B$112:$B$114</c:f>
            </c:numRef>
          </c:val>
          <c:smooth val="0"/>
        </c:ser>
        <c:marker val="1"/>
        <c:axId val="10674288"/>
        <c:axId val="28959729"/>
      </c:lineChart>
      <c:catAx>
        <c:axId val="1067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.02675"/>
              <c:y val="0.0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9729"/>
        <c:crosses val="autoZero"/>
        <c:auto val="1"/>
        <c:lblOffset val="100"/>
        <c:tickLblSkip val="1"/>
        <c:noMultiLvlLbl val="0"/>
      </c:catAx>
      <c:valAx>
        <c:axId val="2895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(millions)</a:t>
                </a:r>
              </a:p>
            </c:rich>
          </c:tx>
          <c:layout>
            <c:manualLayout>
              <c:xMode val="factor"/>
              <c:yMode val="factor"/>
              <c:x val="0.024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7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558"/>
          <c:w val="0.1815"/>
          <c:h val="0.06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 Planned Expenditure (Quarter 1-2006)</a:t>
            </a:r>
          </a:p>
        </c:rich>
      </c:tx>
      <c:layout>
        <c:manualLayout>
          <c:xMode val="factor"/>
          <c:yMode val="factor"/>
          <c:x val="0.03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075"/>
          <c:y val="0.27125"/>
          <c:w val="0.3865"/>
          <c:h val="0.6275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report!$D$96:$D$98</c:f>
            </c:strRef>
          </c:cat>
          <c:val>
            <c:numRef>
              <c:f>report!$E$96:$E$98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425"/>
          <c:y val="0.628"/>
          <c:w val="0.025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Planned expenditure (Quarter 1 2006)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275"/>
          <c:y val="0.20975"/>
          <c:w val="0.4755"/>
          <c:h val="0.735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report!$D$101:$D$103</c:f>
            </c:strRef>
          </c:cat>
          <c:val>
            <c:numRef>
              <c:f>report!$E$101:$E$103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425"/>
          <c:y val="0.569"/>
          <c:w val="0.025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EXPENDITURE (Quarter 1 2006)</a:t>
            </a:r>
          </a:p>
        </c:rich>
      </c:tx>
      <c:layout>
        <c:manualLayout>
          <c:xMode val="factor"/>
          <c:yMode val="factor"/>
          <c:x val="-0.15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5"/>
          <c:y val="0.3885"/>
          <c:w val="0.30375"/>
          <c:h val="0.34225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report!$D$107:$D$113</c:f>
            </c:strRef>
          </c:cat>
          <c:val>
            <c:numRef>
              <c:f>report!$E$107:$E$113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75"/>
          <c:y val="0"/>
          <c:w val="0.3447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TAX REVENUE (Quarter 1-2006)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175"/>
          <c:y val="0.233"/>
          <c:w val="0.4165"/>
          <c:h val="0.70575"/>
        </c:manualLayout>
      </c:layout>
      <c:pi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report!$D$118:$D$120</c:f>
            </c:strRef>
          </c:cat>
          <c:val>
            <c:numRef>
              <c:f>report!$E$118:$E$120</c:f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375"/>
          <c:y val="0.58275"/>
          <c:w val="0.02525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NON TAX REVENUE (Quarter 1-2006)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955"/>
          <c:w val="0.7695"/>
          <c:h val="0.7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report!$D$123:$D$125</c:f>
            </c:strRef>
          </c:cat>
          <c:val>
            <c:numRef>
              <c:f>report!$E$123:$E$125</c:f>
            </c:numRef>
          </c:val>
        </c:ser>
        <c:axId val="59310970"/>
        <c:axId val="64036683"/>
      </c:barChart>
      <c:catAx>
        <c:axId val="5931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675"/>
              <c:y val="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6683"/>
        <c:crosses val="autoZero"/>
        <c:auto val="1"/>
        <c:lblOffset val="100"/>
        <c:tickLblSkip val="1"/>
        <c:noMultiLvlLbl val="0"/>
      </c:catAx>
      <c:valAx>
        <c:axId val="64036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(LE)</a:t>
                </a:r>
              </a:p>
            </c:rich>
          </c:tx>
          <c:layout>
            <c:manualLayout>
              <c:xMode val="factor"/>
              <c:yMode val="factor"/>
              <c:x val="0.015"/>
              <c:y val="0.0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09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5455"/>
          <c:w val="0.142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0.47475</cdr:x>
      <cdr:y>0.49325</cdr:y>
    </cdr:from>
    <cdr:to>
      <cdr:x>0.51125</cdr:x>
      <cdr:y>0.5585</cdr:y>
    </cdr:to>
    <cdr:sp>
      <cdr:nvSpPr>
        <cdr:cNvPr id="1" name="Text Box 1"/>
        <cdr:cNvSpPr txBox="1">
          <a:spLocks noChangeArrowheads="1"/>
        </cdr:cNvSpPr>
      </cdr:nvSpPr>
      <cdr:spPr>
        <a:xfrm>
          <a:off x="1571625" y="1219200"/>
          <a:ext cx="12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66</xdr:row>
      <xdr:rowOff>38100</xdr:rowOff>
    </xdr:from>
    <xdr:to>
      <xdr:col>16</xdr:col>
      <xdr:colOff>171450</xdr:colOff>
      <xdr:row>75</xdr:row>
      <xdr:rowOff>66675</xdr:rowOff>
    </xdr:to>
    <xdr:graphicFrame>
      <xdr:nvGraphicFramePr>
        <xdr:cNvPr id="1" name="Chart 1048"/>
        <xdr:cNvGraphicFramePr/>
      </xdr:nvGraphicFramePr>
      <xdr:xfrm>
        <a:off x="6791325" y="10725150"/>
        <a:ext cx="3133725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0</xdr:row>
      <xdr:rowOff>95250</xdr:rowOff>
    </xdr:from>
    <xdr:to>
      <xdr:col>7</xdr:col>
      <xdr:colOff>9525</xdr:colOff>
      <xdr:row>16</xdr:row>
      <xdr:rowOff>76200</xdr:rowOff>
    </xdr:to>
    <xdr:graphicFrame>
      <xdr:nvGraphicFramePr>
        <xdr:cNvPr id="2" name="Chart 1025"/>
        <xdr:cNvGraphicFramePr/>
      </xdr:nvGraphicFramePr>
      <xdr:xfrm>
        <a:off x="28575" y="95250"/>
        <a:ext cx="4248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19</xdr:row>
      <xdr:rowOff>38100</xdr:rowOff>
    </xdr:from>
    <xdr:to>
      <xdr:col>7</xdr:col>
      <xdr:colOff>438150</xdr:colOff>
      <xdr:row>36</xdr:row>
      <xdr:rowOff>76200</xdr:rowOff>
    </xdr:to>
    <xdr:graphicFrame>
      <xdr:nvGraphicFramePr>
        <xdr:cNvPr id="3" name="Chart 1026"/>
        <xdr:cNvGraphicFramePr/>
      </xdr:nvGraphicFramePr>
      <xdr:xfrm>
        <a:off x="38100" y="3114675"/>
        <a:ext cx="466725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37</xdr:row>
      <xdr:rowOff>9525</xdr:rowOff>
    </xdr:from>
    <xdr:to>
      <xdr:col>6</xdr:col>
      <xdr:colOff>428625</xdr:colOff>
      <xdr:row>53</xdr:row>
      <xdr:rowOff>133350</xdr:rowOff>
    </xdr:to>
    <xdr:graphicFrame>
      <xdr:nvGraphicFramePr>
        <xdr:cNvPr id="4" name="Chart 1027"/>
        <xdr:cNvGraphicFramePr/>
      </xdr:nvGraphicFramePr>
      <xdr:xfrm>
        <a:off x="66675" y="6000750"/>
        <a:ext cx="401955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54</xdr:row>
      <xdr:rowOff>85725</xdr:rowOff>
    </xdr:from>
    <xdr:to>
      <xdr:col>4</xdr:col>
      <xdr:colOff>428625</xdr:colOff>
      <xdr:row>65</xdr:row>
      <xdr:rowOff>28575</xdr:rowOff>
    </xdr:to>
    <xdr:graphicFrame>
      <xdr:nvGraphicFramePr>
        <xdr:cNvPr id="5" name="Chart 1029"/>
        <xdr:cNvGraphicFramePr/>
      </xdr:nvGraphicFramePr>
      <xdr:xfrm>
        <a:off x="114300" y="8829675"/>
        <a:ext cx="2752725" cy="1724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76200</xdr:colOff>
      <xdr:row>66</xdr:row>
      <xdr:rowOff>0</xdr:rowOff>
    </xdr:from>
    <xdr:to>
      <xdr:col>4</xdr:col>
      <xdr:colOff>390525</xdr:colOff>
      <xdr:row>77</xdr:row>
      <xdr:rowOff>28575</xdr:rowOff>
    </xdr:to>
    <xdr:graphicFrame>
      <xdr:nvGraphicFramePr>
        <xdr:cNvPr id="6" name="Chart 1030"/>
        <xdr:cNvGraphicFramePr/>
      </xdr:nvGraphicFramePr>
      <xdr:xfrm>
        <a:off x="76200" y="10687050"/>
        <a:ext cx="2752725" cy="1809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77</xdr:row>
      <xdr:rowOff>152400</xdr:rowOff>
    </xdr:from>
    <xdr:to>
      <xdr:col>4</xdr:col>
      <xdr:colOff>533400</xdr:colOff>
      <xdr:row>93</xdr:row>
      <xdr:rowOff>123825</xdr:rowOff>
    </xdr:to>
    <xdr:graphicFrame>
      <xdr:nvGraphicFramePr>
        <xdr:cNvPr id="7" name="Chart 1031"/>
        <xdr:cNvGraphicFramePr/>
      </xdr:nvGraphicFramePr>
      <xdr:xfrm>
        <a:off x="95250" y="12620625"/>
        <a:ext cx="2876550" cy="256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85725</xdr:colOff>
      <xdr:row>94</xdr:row>
      <xdr:rowOff>95250</xdr:rowOff>
    </xdr:from>
    <xdr:to>
      <xdr:col>4</xdr:col>
      <xdr:colOff>361950</xdr:colOff>
      <xdr:row>104</xdr:row>
      <xdr:rowOff>114300</xdr:rowOff>
    </xdr:to>
    <xdr:graphicFrame>
      <xdr:nvGraphicFramePr>
        <xdr:cNvPr id="8" name="Chart 1032"/>
        <xdr:cNvGraphicFramePr/>
      </xdr:nvGraphicFramePr>
      <xdr:xfrm>
        <a:off x="85725" y="15316200"/>
        <a:ext cx="2714625" cy="163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106</xdr:row>
      <xdr:rowOff>9525</xdr:rowOff>
    </xdr:from>
    <xdr:to>
      <xdr:col>4</xdr:col>
      <xdr:colOff>390525</xdr:colOff>
      <xdr:row>118</xdr:row>
      <xdr:rowOff>38100</xdr:rowOff>
    </xdr:to>
    <xdr:graphicFrame>
      <xdr:nvGraphicFramePr>
        <xdr:cNvPr id="9" name="Chart 1033"/>
        <xdr:cNvGraphicFramePr/>
      </xdr:nvGraphicFramePr>
      <xdr:xfrm>
        <a:off x="66675" y="17173575"/>
        <a:ext cx="2762250" cy="19716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390525</xdr:colOff>
      <xdr:row>0</xdr:row>
      <xdr:rowOff>0</xdr:rowOff>
    </xdr:from>
    <xdr:to>
      <xdr:col>13</xdr:col>
      <xdr:colOff>361950</xdr:colOff>
      <xdr:row>16</xdr:row>
      <xdr:rowOff>123825</xdr:rowOff>
    </xdr:to>
    <xdr:graphicFrame>
      <xdr:nvGraphicFramePr>
        <xdr:cNvPr id="10" name="Chart 1034"/>
        <xdr:cNvGraphicFramePr/>
      </xdr:nvGraphicFramePr>
      <xdr:xfrm>
        <a:off x="4657725" y="0"/>
        <a:ext cx="3629025" cy="2714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523875</xdr:colOff>
      <xdr:row>18</xdr:row>
      <xdr:rowOff>95250</xdr:rowOff>
    </xdr:from>
    <xdr:to>
      <xdr:col>13</xdr:col>
      <xdr:colOff>209550</xdr:colOff>
      <xdr:row>35</xdr:row>
      <xdr:rowOff>57150</xdr:rowOff>
    </xdr:to>
    <xdr:graphicFrame>
      <xdr:nvGraphicFramePr>
        <xdr:cNvPr id="11" name="Chart 1035"/>
        <xdr:cNvGraphicFramePr/>
      </xdr:nvGraphicFramePr>
      <xdr:xfrm>
        <a:off x="4791075" y="3009900"/>
        <a:ext cx="3343275" cy="2714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419100</xdr:colOff>
      <xdr:row>36</xdr:row>
      <xdr:rowOff>76200</xdr:rowOff>
    </xdr:from>
    <xdr:to>
      <xdr:col>13</xdr:col>
      <xdr:colOff>228600</xdr:colOff>
      <xdr:row>53</xdr:row>
      <xdr:rowOff>19050</xdr:rowOff>
    </xdr:to>
    <xdr:graphicFrame>
      <xdr:nvGraphicFramePr>
        <xdr:cNvPr id="12" name="Chart 1036"/>
        <xdr:cNvGraphicFramePr/>
      </xdr:nvGraphicFramePr>
      <xdr:xfrm>
        <a:off x="4686300" y="5905500"/>
        <a:ext cx="3467100" cy="2695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133350</xdr:colOff>
      <xdr:row>54</xdr:row>
      <xdr:rowOff>57150</xdr:rowOff>
    </xdr:from>
    <xdr:to>
      <xdr:col>11</xdr:col>
      <xdr:colOff>190500</xdr:colOff>
      <xdr:row>64</xdr:row>
      <xdr:rowOff>152400</xdr:rowOff>
    </xdr:to>
    <xdr:graphicFrame>
      <xdr:nvGraphicFramePr>
        <xdr:cNvPr id="13" name="Chart 1037"/>
        <xdr:cNvGraphicFramePr/>
      </xdr:nvGraphicFramePr>
      <xdr:xfrm>
        <a:off x="3790950" y="8801100"/>
        <a:ext cx="3105150" cy="1714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523875</xdr:colOff>
      <xdr:row>65</xdr:row>
      <xdr:rowOff>57150</xdr:rowOff>
    </xdr:from>
    <xdr:to>
      <xdr:col>10</xdr:col>
      <xdr:colOff>571500</xdr:colOff>
      <xdr:row>75</xdr:row>
      <xdr:rowOff>57150</xdr:rowOff>
    </xdr:to>
    <xdr:graphicFrame>
      <xdr:nvGraphicFramePr>
        <xdr:cNvPr id="14" name="Chart 1038"/>
        <xdr:cNvGraphicFramePr/>
      </xdr:nvGraphicFramePr>
      <xdr:xfrm>
        <a:off x="3571875" y="10582275"/>
        <a:ext cx="3095625" cy="1619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152400</xdr:colOff>
      <xdr:row>76</xdr:row>
      <xdr:rowOff>95250</xdr:rowOff>
    </xdr:from>
    <xdr:to>
      <xdr:col>12</xdr:col>
      <xdr:colOff>171450</xdr:colOff>
      <xdr:row>93</xdr:row>
      <xdr:rowOff>9525</xdr:rowOff>
    </xdr:to>
    <xdr:graphicFrame>
      <xdr:nvGraphicFramePr>
        <xdr:cNvPr id="15" name="Chart 1040"/>
        <xdr:cNvGraphicFramePr/>
      </xdr:nvGraphicFramePr>
      <xdr:xfrm>
        <a:off x="3200400" y="12401550"/>
        <a:ext cx="4286250" cy="2667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352425</xdr:colOff>
      <xdr:row>93</xdr:row>
      <xdr:rowOff>76200</xdr:rowOff>
    </xdr:from>
    <xdr:to>
      <xdr:col>11</xdr:col>
      <xdr:colOff>66675</xdr:colOff>
      <xdr:row>104</xdr:row>
      <xdr:rowOff>66675</xdr:rowOff>
    </xdr:to>
    <xdr:graphicFrame>
      <xdr:nvGraphicFramePr>
        <xdr:cNvPr id="16" name="Chart 1041"/>
        <xdr:cNvGraphicFramePr/>
      </xdr:nvGraphicFramePr>
      <xdr:xfrm>
        <a:off x="3400425" y="15135225"/>
        <a:ext cx="3371850" cy="1771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104</xdr:row>
      <xdr:rowOff>142875</xdr:rowOff>
    </xdr:from>
    <xdr:to>
      <xdr:col>11</xdr:col>
      <xdr:colOff>342900</xdr:colOff>
      <xdr:row>119</xdr:row>
      <xdr:rowOff>133350</xdr:rowOff>
    </xdr:to>
    <xdr:graphicFrame>
      <xdr:nvGraphicFramePr>
        <xdr:cNvPr id="17" name="Chart 1042"/>
        <xdr:cNvGraphicFramePr/>
      </xdr:nvGraphicFramePr>
      <xdr:xfrm>
        <a:off x="3295650" y="16983075"/>
        <a:ext cx="3752850" cy="2419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13</xdr:col>
      <xdr:colOff>419100</xdr:colOff>
      <xdr:row>0</xdr:row>
      <xdr:rowOff>142875</xdr:rowOff>
    </xdr:from>
    <xdr:to>
      <xdr:col>18</xdr:col>
      <xdr:colOff>66675</xdr:colOff>
      <xdr:row>13</xdr:row>
      <xdr:rowOff>57150</xdr:rowOff>
    </xdr:to>
    <xdr:graphicFrame>
      <xdr:nvGraphicFramePr>
        <xdr:cNvPr id="18" name="Chart 1044"/>
        <xdr:cNvGraphicFramePr/>
      </xdr:nvGraphicFramePr>
      <xdr:xfrm>
        <a:off x="8343900" y="142875"/>
        <a:ext cx="2695575" cy="2019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13</xdr:col>
      <xdr:colOff>400050</xdr:colOff>
      <xdr:row>18</xdr:row>
      <xdr:rowOff>57150</xdr:rowOff>
    </xdr:from>
    <xdr:to>
      <xdr:col>19</xdr:col>
      <xdr:colOff>57150</xdr:colOff>
      <xdr:row>33</xdr:row>
      <xdr:rowOff>104775</xdr:rowOff>
    </xdr:to>
    <xdr:graphicFrame>
      <xdr:nvGraphicFramePr>
        <xdr:cNvPr id="19" name="Chart 1045"/>
        <xdr:cNvGraphicFramePr/>
      </xdr:nvGraphicFramePr>
      <xdr:xfrm>
        <a:off x="8324850" y="2971800"/>
        <a:ext cx="3314700" cy="2476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13</xdr:col>
      <xdr:colOff>466725</xdr:colOff>
      <xdr:row>36</xdr:row>
      <xdr:rowOff>47625</xdr:rowOff>
    </xdr:from>
    <xdr:to>
      <xdr:col>19</xdr:col>
      <xdr:colOff>333375</xdr:colOff>
      <xdr:row>52</xdr:row>
      <xdr:rowOff>142875</xdr:rowOff>
    </xdr:to>
    <xdr:graphicFrame>
      <xdr:nvGraphicFramePr>
        <xdr:cNvPr id="20" name="Chart 1046"/>
        <xdr:cNvGraphicFramePr/>
      </xdr:nvGraphicFramePr>
      <xdr:xfrm>
        <a:off x="8391525" y="5876925"/>
        <a:ext cx="3524250" cy="26860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28575</xdr:colOff>
      <xdr:row>54</xdr:row>
      <xdr:rowOff>9525</xdr:rowOff>
    </xdr:from>
    <xdr:to>
      <xdr:col>16</xdr:col>
      <xdr:colOff>590550</xdr:colOff>
      <xdr:row>64</xdr:row>
      <xdr:rowOff>133350</xdr:rowOff>
    </xdr:to>
    <xdr:graphicFrame>
      <xdr:nvGraphicFramePr>
        <xdr:cNvPr id="21" name="Chart 1047"/>
        <xdr:cNvGraphicFramePr/>
      </xdr:nvGraphicFramePr>
      <xdr:xfrm>
        <a:off x="7343775" y="8753475"/>
        <a:ext cx="3000375" cy="1743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266700</xdr:colOff>
      <xdr:row>76</xdr:row>
      <xdr:rowOff>123825</xdr:rowOff>
    </xdr:from>
    <xdr:to>
      <xdr:col>20</xdr:col>
      <xdr:colOff>57150</xdr:colOff>
      <xdr:row>92</xdr:row>
      <xdr:rowOff>152400</xdr:rowOff>
    </xdr:to>
    <xdr:graphicFrame>
      <xdr:nvGraphicFramePr>
        <xdr:cNvPr id="22" name="Chart 1049"/>
        <xdr:cNvGraphicFramePr/>
      </xdr:nvGraphicFramePr>
      <xdr:xfrm>
        <a:off x="7581900" y="12430125"/>
        <a:ext cx="4667250" cy="26193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12</xdr:col>
      <xdr:colOff>38100</xdr:colOff>
      <xdr:row>94</xdr:row>
      <xdr:rowOff>38100</xdr:rowOff>
    </xdr:from>
    <xdr:to>
      <xdr:col>16</xdr:col>
      <xdr:colOff>371475</xdr:colOff>
      <xdr:row>104</xdr:row>
      <xdr:rowOff>114300</xdr:rowOff>
    </xdr:to>
    <xdr:graphicFrame>
      <xdr:nvGraphicFramePr>
        <xdr:cNvPr id="23" name="Chart 1050"/>
        <xdr:cNvGraphicFramePr/>
      </xdr:nvGraphicFramePr>
      <xdr:xfrm>
        <a:off x="7353300" y="15259050"/>
        <a:ext cx="2771775" cy="16954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47625</xdr:colOff>
      <xdr:row>105</xdr:row>
      <xdr:rowOff>57150</xdr:rowOff>
    </xdr:from>
    <xdr:to>
      <xdr:col>17</xdr:col>
      <xdr:colOff>200025</xdr:colOff>
      <xdr:row>118</xdr:row>
      <xdr:rowOff>19050</xdr:rowOff>
    </xdr:to>
    <xdr:graphicFrame>
      <xdr:nvGraphicFramePr>
        <xdr:cNvPr id="24" name="Chart 1051"/>
        <xdr:cNvGraphicFramePr/>
      </xdr:nvGraphicFramePr>
      <xdr:xfrm>
        <a:off x="7362825" y="17059275"/>
        <a:ext cx="3200400" cy="20669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DATA\FMA\Publication%20reports%202015\linking%20reports%202014\cofog2%20report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macauley\Desktop\Publication%20reports%202012\performance%20report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macauley\Desktop\Publication%20reports%202013\performance%20reports%20q1q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2014%20DATA\FMA\Publication%20reports%202014\performance%20reports%20q1q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2016%20DATA\FMA\Publication%20reports%202016\performance%20reports%20q1q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2014%20DATA\FMA\Publication%20reports%202014\off%20which%20others%20reports%20q1q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onteh.GSLIFMIS\Documents\performance%20reports%20q1q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2016%20DATA\FMA\Publication%20reports%202016\linking%20reports%202016\fiscal%20reports%20January%202016%20fina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onteh.GSLIFMIS\Desktop\fiscal%20reports%20for%202016\performance%20reports%20q1q2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conteh.GSLIFMIS\Desktop\fiscal%20reports%20for%202016\performance%20reports%20q1q2%20for%20ap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DATA\FMA\Publication%20reports%202015\linking%20reports%202014\performance%20repo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DATA\FMA\Publication%20reports%202015\linking%20reports%202014\off%20which%20others%20report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DATA\FMA\Publication%20reports%202015\linking%20reports%202014\cofog21%20repor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DATA\FMA\Publication%20reports%202015\linking%20reports%202014\cofog2%20reports%20q3q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DATA\FMA\Publication%20reports%202015\linking%20reports%202014\cofog21%20reports%20q3q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DATA\FMA\Publication%20reports%202015\linking%20reports%202014\cofog2arrears%20%20report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DATA\FMA\Publication%20reports%202015\linking%20reports%202014\cofog2arrears%20reports%20q3q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2015%20DATA\FMA\Publication%20reports%202015\linking%20reports%202014\cofog2arrears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>
            <v>-19973.541755619997</v>
          </cell>
          <cell r="C3">
            <v>-18759.225277</v>
          </cell>
          <cell r="D3">
            <v>-19897.03466009</v>
          </cell>
          <cell r="F3">
            <v>-21863.555908739996</v>
          </cell>
          <cell r="G3">
            <v>-424.820159</v>
          </cell>
          <cell r="H3">
            <v>0</v>
          </cell>
        </row>
        <row r="4">
          <cell r="B4">
            <v>-4946.68951969</v>
          </cell>
          <cell r="C4">
            <v>-3166.1865469100003</v>
          </cell>
          <cell r="D4">
            <v>-7110.104532399999</v>
          </cell>
          <cell r="F4">
            <v>-23010.233179059996</v>
          </cell>
          <cell r="G4">
            <v>-198.646679</v>
          </cell>
          <cell r="H4">
            <v>0</v>
          </cell>
        </row>
        <row r="5">
          <cell r="B5">
            <v>0</v>
          </cell>
          <cell r="C5">
            <v>-3965.1523100000004</v>
          </cell>
          <cell r="D5">
            <v>-1081.482</v>
          </cell>
          <cell r="F5">
            <v>-1032.083451</v>
          </cell>
          <cell r="G5">
            <v>0</v>
          </cell>
          <cell r="H5">
            <v>0</v>
          </cell>
        </row>
        <row r="7">
          <cell r="B7">
            <v>-576.690375</v>
          </cell>
          <cell r="C7">
            <v>-2416.8424479999994</v>
          </cell>
          <cell r="D7">
            <v>-579.3994689999998</v>
          </cell>
          <cell r="F7">
            <v>-224.22271400000002</v>
          </cell>
          <cell r="G7">
            <v>0</v>
          </cell>
          <cell r="H7">
            <v>0</v>
          </cell>
        </row>
        <row r="8">
          <cell r="B8">
            <v>-519.20115905</v>
          </cell>
          <cell r="C8">
            <v>-1384.6732630000001</v>
          </cell>
          <cell r="D8">
            <v>-1330.4139950000003</v>
          </cell>
          <cell r="F8">
            <v>-1255.157515</v>
          </cell>
          <cell r="G8">
            <v>-164.56159799999998</v>
          </cell>
          <cell r="H8">
            <v>0</v>
          </cell>
        </row>
        <row r="9">
          <cell r="F9">
            <v>-221.871935</v>
          </cell>
          <cell r="G9">
            <v>0</v>
          </cell>
          <cell r="H9">
            <v>0</v>
          </cell>
        </row>
        <row r="10">
          <cell r="B10">
            <v>-24905.292218479994</v>
          </cell>
          <cell r="C10">
            <v>-30843.984703920003</v>
          </cell>
          <cell r="D10">
            <v>-81150.16343126999</v>
          </cell>
        </row>
        <row r="11">
          <cell r="B11">
            <v>-15261.741728999994</v>
          </cell>
          <cell r="C11">
            <v>-12221.748082000006</v>
          </cell>
          <cell r="D11">
            <v>-11210.821120999994</v>
          </cell>
          <cell r="F11">
            <v>-12653.181978999995</v>
          </cell>
          <cell r="G11">
            <v>-88.6</v>
          </cell>
          <cell r="H11">
            <v>0</v>
          </cell>
        </row>
        <row r="12">
          <cell r="B12">
            <v>-6418.76939348</v>
          </cell>
          <cell r="C12">
            <v>-13477.13849565</v>
          </cell>
          <cell r="D12">
            <v>-36408.60425417</v>
          </cell>
          <cell r="F12">
            <v>-17008.60681741</v>
          </cell>
          <cell r="G12">
            <v>-1403.4429220000002</v>
          </cell>
          <cell r="H12">
            <v>0</v>
          </cell>
        </row>
        <row r="13">
          <cell r="F13">
            <v>-9334.29522</v>
          </cell>
          <cell r="G13">
            <v>-25</v>
          </cell>
          <cell r="H13">
            <v>0</v>
          </cell>
        </row>
        <row r="14">
          <cell r="B14">
            <v>-4781.8340020000005</v>
          </cell>
          <cell r="C14">
            <v>-8721.463243</v>
          </cell>
          <cell r="D14">
            <v>-7455.90196825</v>
          </cell>
        </row>
        <row r="15">
          <cell r="B15">
            <v>-260.953902</v>
          </cell>
          <cell r="C15">
            <v>-1087.097922</v>
          </cell>
          <cell r="D15">
            <v>-284.200906</v>
          </cell>
          <cell r="F15">
            <v>-142.572765</v>
          </cell>
          <cell r="G15">
            <v>0</v>
          </cell>
          <cell r="H15">
            <v>0</v>
          </cell>
        </row>
        <row r="16">
          <cell r="B16">
            <v>-4520.8801</v>
          </cell>
          <cell r="C16">
            <v>-4898.783</v>
          </cell>
          <cell r="D16">
            <v>-7135.70106225</v>
          </cell>
          <cell r="F16">
            <v>-517.229</v>
          </cell>
          <cell r="G16">
            <v>-28.99</v>
          </cell>
          <cell r="H16">
            <v>0</v>
          </cell>
        </row>
        <row r="17">
          <cell r="F17">
            <v>-240</v>
          </cell>
          <cell r="G17">
            <v>0</v>
          </cell>
          <cell r="H17">
            <v>0</v>
          </cell>
        </row>
        <row r="18">
          <cell r="B18">
            <v>-2238.737407</v>
          </cell>
          <cell r="C18">
            <v>-1525.4214520000003</v>
          </cell>
          <cell r="D18">
            <v>-2541.357192</v>
          </cell>
        </row>
        <row r="19">
          <cell r="B19">
            <v>-1475.2310760000003</v>
          </cell>
          <cell r="C19">
            <v>-1525.4214520000003</v>
          </cell>
          <cell r="D19">
            <v>-1149.461845</v>
          </cell>
          <cell r="F19">
            <v>-164.280899</v>
          </cell>
          <cell r="G19">
            <v>0</v>
          </cell>
          <cell r="H19">
            <v>0</v>
          </cell>
        </row>
        <row r="20">
          <cell r="B20">
            <v>0</v>
          </cell>
          <cell r="C20">
            <v>0</v>
          </cell>
          <cell r="D20">
            <v>-812.8953469999999</v>
          </cell>
          <cell r="F20">
            <v>-1168.62522</v>
          </cell>
          <cell r="G20">
            <v>-273.2153</v>
          </cell>
          <cell r="H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</row>
        <row r="22">
          <cell r="B22">
            <v>-1102.4071050000002</v>
          </cell>
          <cell r="C22">
            <v>-548.464206</v>
          </cell>
          <cell r="D22">
            <v>-7502.815609</v>
          </cell>
        </row>
        <row r="23">
          <cell r="B23">
            <v>-582.7759860000001</v>
          </cell>
          <cell r="C23">
            <v>-548.464206</v>
          </cell>
          <cell r="D23">
            <v>-543.724083</v>
          </cell>
          <cell r="F23">
            <v>-364.400183</v>
          </cell>
          <cell r="G23">
            <v>0</v>
          </cell>
          <cell r="H23">
            <v>0</v>
          </cell>
        </row>
        <row r="24">
          <cell r="B24">
            <v>-519.631119</v>
          </cell>
          <cell r="C24">
            <v>0</v>
          </cell>
          <cell r="D24">
            <v>-6959.091526</v>
          </cell>
          <cell r="F24">
            <v>-3089.2964899999997</v>
          </cell>
          <cell r="G24">
            <v>-45</v>
          </cell>
          <cell r="H24">
            <v>0</v>
          </cell>
        </row>
        <row r="25">
          <cell r="F25">
            <v>-92289.61327621</v>
          </cell>
          <cell r="G25">
            <v>-2652.276658</v>
          </cell>
          <cell r="H25">
            <v>0</v>
          </cell>
        </row>
        <row r="26">
          <cell r="B26" t="str">
            <v>Page -1 of 1</v>
          </cell>
          <cell r="C26" t="str">
            <v>PRINTED DATE:</v>
          </cell>
          <cell r="D26">
            <v>40303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fog New"/>
      <sheetName val="report"/>
      <sheetName val="cofog"/>
      <sheetName val="Sheet1"/>
      <sheetName val="cofog summ"/>
      <sheetName val="mgmt ext"/>
      <sheetName val="charts"/>
      <sheetName val="Sheet2"/>
    </sheetNames>
    <sheetDataSet>
      <sheetData sheetId="3">
        <row r="15">
          <cell r="B15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0">
          <cell r="B30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C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>
            <v>79697.93444983002</v>
          </cell>
        </row>
        <row r="4">
          <cell r="B4">
            <v>38248.19090413</v>
          </cell>
        </row>
        <row r="5">
          <cell r="B5">
            <v>54607.537163930014</v>
          </cell>
        </row>
        <row r="7">
          <cell r="B7">
            <v>3203.0941602500006</v>
          </cell>
        </row>
        <row r="11">
          <cell r="B11">
            <v>-35555.39251725</v>
          </cell>
        </row>
        <row r="12">
          <cell r="B12">
            <v>-1624.2</v>
          </cell>
        </row>
        <row r="13">
          <cell r="B13">
            <v>-48390.509111</v>
          </cell>
        </row>
        <row r="16">
          <cell r="B16">
            <v>60697.374056399996</v>
          </cell>
        </row>
        <row r="18">
          <cell r="B18">
            <v>-6286.47979517</v>
          </cell>
        </row>
        <row r="19">
          <cell r="B19">
            <v>-868.6495819999999</v>
          </cell>
        </row>
        <row r="20">
          <cell r="B20">
            <v>-76321.401315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B4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>
            <v>67100.43222767001</v>
          </cell>
        </row>
        <row r="4">
          <cell r="C4">
            <v>39205.56804616</v>
          </cell>
        </row>
        <row r="5">
          <cell r="C5">
            <v>53825.107856440016</v>
          </cell>
        </row>
        <row r="7">
          <cell r="C7">
            <v>4533.28743411</v>
          </cell>
        </row>
        <row r="10">
          <cell r="B10">
            <v>474.70025468</v>
          </cell>
        </row>
        <row r="12">
          <cell r="B12">
            <v>-153163.62562668003</v>
          </cell>
        </row>
        <row r="18">
          <cell r="C18">
            <v>30599.427689600016</v>
          </cell>
        </row>
        <row r="20">
          <cell r="C20">
            <v>-8382.875477439997</v>
          </cell>
        </row>
        <row r="21">
          <cell r="C21">
            <v>-4086.87538646</v>
          </cell>
        </row>
        <row r="22">
          <cell r="C22">
            <v>-186.58647900000003</v>
          </cell>
        </row>
        <row r="23">
          <cell r="C23">
            <v>-14710.658758899997</v>
          </cell>
        </row>
        <row r="25">
          <cell r="C25">
            <v>-23049.78623783</v>
          </cell>
        </row>
        <row r="27">
          <cell r="C27">
            <v>67673.55540104</v>
          </cell>
        </row>
        <row r="28">
          <cell r="C28">
            <v>-3401.7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fog New"/>
      <sheetName val="report"/>
      <sheetName val="cofog"/>
      <sheetName val="Sheet1"/>
      <sheetName val="cofog summ"/>
      <sheetName val="mgmt ext"/>
      <sheetName val="charts"/>
      <sheetName val="Sheet2"/>
    </sheetNames>
    <sheetDataSet>
      <sheetData sheetId="1">
        <row r="19">
          <cell r="C19">
            <v>6810.082305469999</v>
          </cell>
        </row>
        <row r="80">
          <cell r="C80">
            <v>-952.4184384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76679.13673535999</v>
          </cell>
        </row>
        <row r="4">
          <cell r="D4">
            <v>44028.899183600006</v>
          </cell>
        </row>
        <row r="5">
          <cell r="D5">
            <v>53184.24740503001</v>
          </cell>
        </row>
        <row r="7">
          <cell r="D7">
            <v>9244.483947319999</v>
          </cell>
        </row>
        <row r="10">
          <cell r="D10">
            <v>60000</v>
          </cell>
        </row>
        <row r="12">
          <cell r="D12">
            <v>-152521.25455469</v>
          </cell>
        </row>
        <row r="13">
          <cell r="D13">
            <v>-108278.27712565001</v>
          </cell>
        </row>
        <row r="14">
          <cell r="D14">
            <v>-14859.4249</v>
          </cell>
        </row>
        <row r="15">
          <cell r="D15">
            <v>-8957.303254</v>
          </cell>
        </row>
        <row r="18">
          <cell r="D18">
            <v>-45690.24748500001</v>
          </cell>
        </row>
        <row r="21">
          <cell r="D21">
            <v>-5364.458323230001</v>
          </cell>
        </row>
        <row r="22">
          <cell r="D22">
            <v>-37.47</v>
          </cell>
        </row>
        <row r="23">
          <cell r="D23">
            <v>-23714.98865909</v>
          </cell>
        </row>
        <row r="25">
          <cell r="D25">
            <v>-49059.57222715</v>
          </cell>
        </row>
        <row r="26">
          <cell r="D26">
            <v>-9193.87165879</v>
          </cell>
        </row>
        <row r="27">
          <cell r="D27">
            <v>24714.343610019994</v>
          </cell>
        </row>
        <row r="28">
          <cell r="D28">
            <v>-3243.45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F3">
            <v>85656.49846196001</v>
          </cell>
        </row>
        <row r="4">
          <cell r="F4">
            <v>38329.910985810006</v>
          </cell>
        </row>
        <row r="5">
          <cell r="F5">
            <v>55279.414782809996</v>
          </cell>
        </row>
        <row r="6">
          <cell r="B6">
            <v>5050.7276584</v>
          </cell>
          <cell r="C6">
            <v>2804.7246252299997</v>
          </cell>
          <cell r="D6">
            <v>1091.36672634</v>
          </cell>
          <cell r="F6">
            <v>27418.55346159</v>
          </cell>
        </row>
        <row r="7">
          <cell r="F7">
            <v>1088.8321653</v>
          </cell>
        </row>
        <row r="8">
          <cell r="C8">
            <v>20961.431786060006</v>
          </cell>
          <cell r="D8">
            <v>9962.8036629</v>
          </cell>
          <cell r="F8">
            <v>7572.243841930001</v>
          </cell>
        </row>
        <row r="9">
          <cell r="B9">
            <v>10476.09468174</v>
          </cell>
          <cell r="C9">
            <v>12492.692338030003</v>
          </cell>
          <cell r="D9">
            <v>27087.644022020002</v>
          </cell>
          <cell r="F9">
            <v>12142.40343108</v>
          </cell>
        </row>
        <row r="11">
          <cell r="B11">
            <v>1085.75701978</v>
          </cell>
          <cell r="D11">
            <v>1763.34097443</v>
          </cell>
          <cell r="F11">
            <v>2089.0432234</v>
          </cell>
        </row>
        <row r="14">
          <cell r="C14">
            <v>-154223.83627362002</v>
          </cell>
          <cell r="F14">
            <v>-143979.47735014</v>
          </cell>
        </row>
        <row r="15">
          <cell r="C15">
            <v>-144570.19333483</v>
          </cell>
          <cell r="F15">
            <v>-104353.94526935</v>
          </cell>
        </row>
        <row r="16">
          <cell r="F16">
            <v>-154</v>
          </cell>
        </row>
        <row r="17">
          <cell r="C17">
            <v>-98135.46886602002</v>
          </cell>
          <cell r="F17">
            <v>-6031.581263980001</v>
          </cell>
        </row>
        <row r="19">
          <cell r="B19">
            <v>170.69267537000098</v>
          </cell>
          <cell r="C19">
            <v>1046.4898446200013</v>
          </cell>
          <cell r="D19">
            <v>674.361380569996</v>
          </cell>
          <cell r="F19">
            <v>16860.897787480004</v>
          </cell>
        </row>
        <row r="20">
          <cell r="F20">
            <v>49471.74281067001</v>
          </cell>
        </row>
        <row r="22">
          <cell r="D22">
            <v>-7245.230173309999</v>
          </cell>
          <cell r="F22">
            <v>-14322.16497083</v>
          </cell>
        </row>
        <row r="23">
          <cell r="B23">
            <v>-3237.1157153100003</v>
          </cell>
        </row>
        <row r="25">
          <cell r="F25">
            <v>-631.3232526099999</v>
          </cell>
        </row>
        <row r="27">
          <cell r="B27">
            <v>27504.34754309999</v>
          </cell>
          <cell r="F27">
            <v>224.26142053000163</v>
          </cell>
        </row>
        <row r="28">
          <cell r="C28">
            <v>-856.70562755</v>
          </cell>
        </row>
        <row r="29">
          <cell r="B29">
            <v>-3461.34671231</v>
          </cell>
          <cell r="F29">
            <v>33954.40109189</v>
          </cell>
        </row>
        <row r="30">
          <cell r="B30">
            <v>6442.25</v>
          </cell>
          <cell r="F30">
            <v>-5753.45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22798.711182550007</v>
          </cell>
        </row>
        <row r="4">
          <cell r="D4">
            <v>30030.59213064001</v>
          </cell>
        </row>
        <row r="5">
          <cell r="D5">
            <v>16986.97667844</v>
          </cell>
        </row>
        <row r="6">
          <cell r="D6">
            <v>1935.5132241599997</v>
          </cell>
        </row>
        <row r="7">
          <cell r="D7">
            <v>291.47641450000003</v>
          </cell>
        </row>
        <row r="8">
          <cell r="D8">
            <v>11418.281986670005</v>
          </cell>
        </row>
        <row r="9">
          <cell r="D9">
            <v>4756.951</v>
          </cell>
        </row>
        <row r="11">
          <cell r="D11">
            <v>1369.1018791099998</v>
          </cell>
        </row>
        <row r="12">
          <cell r="D12">
            <v>0</v>
          </cell>
        </row>
        <row r="13">
          <cell r="C13">
            <v>0</v>
          </cell>
          <cell r="D13">
            <v>64400</v>
          </cell>
        </row>
        <row r="14">
          <cell r="D14">
            <v>570</v>
          </cell>
        </row>
        <row r="16">
          <cell r="D16">
            <v>-33464.22031809001</v>
          </cell>
        </row>
        <row r="17">
          <cell r="D17">
            <v>-48858.94019337002</v>
          </cell>
        </row>
        <row r="18">
          <cell r="D18">
            <v>-6459.118826000002</v>
          </cell>
        </row>
        <row r="19">
          <cell r="D19">
            <v>-5362.793000000001</v>
          </cell>
        </row>
        <row r="20">
          <cell r="D20">
            <v>-44059.66848955</v>
          </cell>
        </row>
        <row r="22">
          <cell r="D22">
            <v>4813.448718</v>
          </cell>
        </row>
        <row r="23">
          <cell r="D23">
            <v>11223.926211000002</v>
          </cell>
        </row>
        <row r="25">
          <cell r="D25">
            <v>-4760.600532570001</v>
          </cell>
        </row>
        <row r="26">
          <cell r="D26">
            <v>-3098.3524679399998</v>
          </cell>
        </row>
        <row r="27">
          <cell r="D27">
            <v>-609.195333</v>
          </cell>
        </row>
        <row r="28">
          <cell r="D28">
            <v>-2270.2343367500002</v>
          </cell>
        </row>
        <row r="31">
          <cell r="D31">
            <v>-1134.72357842</v>
          </cell>
        </row>
        <row r="32">
          <cell r="D32">
            <v>-2920.0012950000005</v>
          </cell>
        </row>
        <row r="33">
          <cell r="C33">
            <v>0</v>
          </cell>
          <cell r="D33">
            <v>-5229.2</v>
          </cell>
        </row>
        <row r="34">
          <cell r="D34">
            <v>-570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D3">
            <v>1262600000</v>
          </cell>
        </row>
        <row r="4">
          <cell r="D4">
            <v>6418653178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>
            <v>-11987.3</v>
          </cell>
          <cell r="D3">
            <v>-1153.8056900000001</v>
          </cell>
          <cell r="F3">
            <v>-7611.6</v>
          </cell>
          <cell r="G3">
            <v>-376.454188</v>
          </cell>
          <cell r="H3">
            <v>0</v>
          </cell>
        </row>
        <row r="4">
          <cell r="C4">
            <v>0</v>
          </cell>
          <cell r="D4">
            <v>0</v>
          </cell>
          <cell r="F4">
            <v>0</v>
          </cell>
          <cell r="G4">
            <v>0</v>
          </cell>
          <cell r="H4">
            <v>0</v>
          </cell>
        </row>
        <row r="6">
          <cell r="F6">
            <v>0</v>
          </cell>
          <cell r="G6">
            <v>0</v>
          </cell>
          <cell r="H6">
            <v>0</v>
          </cell>
        </row>
        <row r="8">
          <cell r="C8">
            <v>-3840.9570000000003</v>
          </cell>
          <cell r="D8">
            <v>-6.462000000000001</v>
          </cell>
          <cell r="F8">
            <v>0</v>
          </cell>
          <cell r="G8">
            <v>0</v>
          </cell>
          <cell r="H8">
            <v>0</v>
          </cell>
        </row>
        <row r="10">
          <cell r="D10">
            <v>-6827.426745</v>
          </cell>
          <cell r="F10">
            <v>-7611.6</v>
          </cell>
          <cell r="G10">
            <v>-376.454188</v>
          </cell>
          <cell r="H1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>
            <v>-19918.436330619996</v>
          </cell>
          <cell r="C3">
            <v>-18759.225276999998</v>
          </cell>
          <cell r="D3">
            <v>-19287.83932709</v>
          </cell>
          <cell r="F3">
            <v>-21136.679232739996</v>
          </cell>
          <cell r="G3">
            <v>-424.820159</v>
          </cell>
          <cell r="H3">
            <v>0</v>
          </cell>
          <cell r="I3">
            <v>-21561.49939174</v>
          </cell>
        </row>
        <row r="4">
          <cell r="B4">
            <v>-4946.6895196899995</v>
          </cell>
          <cell r="C4">
            <v>-2647.39034011</v>
          </cell>
          <cell r="D4">
            <v>-6882.6045324</v>
          </cell>
          <cell r="F4">
            <v>-12379.16849006</v>
          </cell>
          <cell r="G4">
            <v>-198.646679</v>
          </cell>
          <cell r="H4">
            <v>0</v>
          </cell>
          <cell r="I4">
            <v>-12577.81516906</v>
          </cell>
        </row>
        <row r="5">
          <cell r="B5">
            <v>0</v>
          </cell>
          <cell r="C5">
            <v>-3965.1523100000004</v>
          </cell>
          <cell r="D5">
            <v>-1081.482</v>
          </cell>
          <cell r="F5">
            <v>-1032.083451</v>
          </cell>
          <cell r="G5">
            <v>0</v>
          </cell>
          <cell r="H5">
            <v>0</v>
          </cell>
          <cell r="I5">
            <v>-1032.083451</v>
          </cell>
        </row>
        <row r="7">
          <cell r="B7">
            <v>-576.690375</v>
          </cell>
          <cell r="C7">
            <v>-2416.842448</v>
          </cell>
          <cell r="D7">
            <v>-579.399469</v>
          </cell>
          <cell r="F7">
            <v>-224.22271400000005</v>
          </cell>
          <cell r="G7">
            <v>0</v>
          </cell>
          <cell r="H7">
            <v>0</v>
          </cell>
          <cell r="I7">
            <v>-224.22271400000005</v>
          </cell>
        </row>
        <row r="8">
          <cell r="B8">
            <v>-519.20115905</v>
          </cell>
          <cell r="C8">
            <v>-1384.6732630000001</v>
          </cell>
          <cell r="D8">
            <v>-1330.4139950000003</v>
          </cell>
          <cell r="F8">
            <v>-1255.157515</v>
          </cell>
          <cell r="G8">
            <v>-164.56159799999998</v>
          </cell>
          <cell r="H8">
            <v>0</v>
          </cell>
          <cell r="I8">
            <v>-1419.719113</v>
          </cell>
        </row>
        <row r="9">
          <cell r="B9">
            <v>0</v>
          </cell>
          <cell r="C9">
            <v>0</v>
          </cell>
          <cell r="D9">
            <v>-85</v>
          </cell>
          <cell r="F9">
            <v>-221.871935</v>
          </cell>
          <cell r="G9">
            <v>0</v>
          </cell>
          <cell r="H9">
            <v>0</v>
          </cell>
        </row>
        <row r="10">
          <cell r="I10">
            <v>-40513.126938409994</v>
          </cell>
        </row>
        <row r="11">
          <cell r="B11">
            <v>-15261.741729000008</v>
          </cell>
          <cell r="C11">
            <v>-12221.748081999995</v>
          </cell>
          <cell r="D11">
            <v>-11210.821121</v>
          </cell>
          <cell r="F11">
            <v>-12653.181978999999</v>
          </cell>
          <cell r="G11">
            <v>-88.6</v>
          </cell>
          <cell r="H11">
            <v>0</v>
          </cell>
          <cell r="I11">
            <v>-12741.781978999998</v>
          </cell>
        </row>
        <row r="12">
          <cell r="B12">
            <v>-6418.76939348</v>
          </cell>
          <cell r="C12">
            <v>-13477.138495650002</v>
          </cell>
          <cell r="D12">
            <v>-36408.60425417001</v>
          </cell>
          <cell r="F12">
            <v>-17008.60681741</v>
          </cell>
          <cell r="G12">
            <v>-1403.442922</v>
          </cell>
          <cell r="H12">
            <v>0</v>
          </cell>
          <cell r="I12">
            <v>-18412.04973941</v>
          </cell>
        </row>
        <row r="13">
          <cell r="B13">
            <v>-3224.781096</v>
          </cell>
          <cell r="C13">
            <v>-5145.09812627</v>
          </cell>
          <cell r="D13">
            <v>-33530.7380561</v>
          </cell>
          <cell r="F13">
            <v>-9334.29522</v>
          </cell>
          <cell r="G13">
            <v>-25</v>
          </cell>
          <cell r="H13">
            <v>0</v>
          </cell>
        </row>
        <row r="14">
          <cell r="I14">
            <v>-928.791765</v>
          </cell>
        </row>
        <row r="15">
          <cell r="B15">
            <v>-260.953902</v>
          </cell>
          <cell r="C15">
            <v>-1087.097922</v>
          </cell>
          <cell r="D15">
            <v>-284.200906</v>
          </cell>
          <cell r="F15">
            <v>-142.572765</v>
          </cell>
          <cell r="G15">
            <v>0</v>
          </cell>
          <cell r="H15">
            <v>0</v>
          </cell>
          <cell r="I15">
            <v>-142.572765</v>
          </cell>
        </row>
        <row r="16">
          <cell r="B16">
            <v>-4520.8801</v>
          </cell>
          <cell r="C16">
            <v>-4898.783</v>
          </cell>
          <cell r="D16">
            <v>-7135.70106225</v>
          </cell>
          <cell r="F16">
            <v>-517.2289999999999</v>
          </cell>
          <cell r="G16">
            <v>-28.99</v>
          </cell>
          <cell r="H16">
            <v>0</v>
          </cell>
          <cell r="I16">
            <v>-546.2189999999999</v>
          </cell>
        </row>
        <row r="17">
          <cell r="B17">
            <v>0</v>
          </cell>
          <cell r="C17">
            <v>-2735.5823210000003</v>
          </cell>
          <cell r="D17">
            <v>-36</v>
          </cell>
          <cell r="F17">
            <v>-240</v>
          </cell>
          <cell r="G17">
            <v>0</v>
          </cell>
          <cell r="H17">
            <v>0</v>
          </cell>
        </row>
        <row r="18">
          <cell r="I18">
            <v>-1606.1214189999998</v>
          </cell>
        </row>
        <row r="19">
          <cell r="B19">
            <v>-1475.2310760000003</v>
          </cell>
          <cell r="C19">
            <v>-1525.4214520000003</v>
          </cell>
          <cell r="D19">
            <v>-1149.461845</v>
          </cell>
          <cell r="F19">
            <v>-164.280899</v>
          </cell>
          <cell r="G19">
            <v>0</v>
          </cell>
          <cell r="H19">
            <v>0</v>
          </cell>
          <cell r="I19">
            <v>-164.280899</v>
          </cell>
        </row>
        <row r="20">
          <cell r="B20">
            <v>0</v>
          </cell>
          <cell r="C20">
            <v>0</v>
          </cell>
          <cell r="D20">
            <v>-812.8953469999999</v>
          </cell>
          <cell r="F20">
            <v>-1168.62522</v>
          </cell>
          <cell r="G20">
            <v>-273.2153</v>
          </cell>
          <cell r="H20">
            <v>0</v>
          </cell>
        </row>
        <row r="21">
          <cell r="B21">
            <v>-763.506331</v>
          </cell>
          <cell r="C21">
            <v>0</v>
          </cell>
          <cell r="D21">
            <v>-579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I22">
            <v>-3498.696673</v>
          </cell>
        </row>
        <row r="23">
          <cell r="B23">
            <v>-582.775986</v>
          </cell>
          <cell r="C23">
            <v>-548.4642059999999</v>
          </cell>
          <cell r="D23">
            <v>-543.724083</v>
          </cell>
          <cell r="F23">
            <v>-364.400183</v>
          </cell>
          <cell r="G23">
            <v>0</v>
          </cell>
          <cell r="H23">
            <v>0</v>
          </cell>
        </row>
        <row r="24">
          <cell r="B24">
            <v>-519.631119</v>
          </cell>
          <cell r="C24">
            <v>0</v>
          </cell>
          <cell r="D24">
            <v>-6959.091526</v>
          </cell>
          <cell r="F24">
            <v>-3089.2964899999997</v>
          </cell>
          <cell r="G24">
            <v>-45</v>
          </cell>
          <cell r="H24">
            <v>0</v>
          </cell>
        </row>
        <row r="25">
          <cell r="B25">
            <v>-58989.288116840005</v>
          </cell>
          <cell r="C25">
            <v>-70812.61724302999</v>
          </cell>
          <cell r="D25">
            <v>-127896.97752401001</v>
          </cell>
          <cell r="F25">
            <v>-80931.67191121</v>
          </cell>
          <cell r="G25">
            <v>-2652.2766579999998</v>
          </cell>
          <cell r="H25">
            <v>0</v>
          </cell>
          <cell r="I25">
            <v>-83583.94856921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>
            <v>0</v>
          </cell>
          <cell r="C3">
            <v>-534.61</v>
          </cell>
          <cell r="D3">
            <v>0</v>
          </cell>
          <cell r="F3">
            <v>-418.76968500000004</v>
          </cell>
          <cell r="G3">
            <v>0</v>
          </cell>
          <cell r="H3">
            <v>0</v>
          </cell>
          <cell r="I3">
            <v>-418.76968500000004</v>
          </cell>
        </row>
        <row r="4">
          <cell r="B4">
            <v>0</v>
          </cell>
          <cell r="C4">
            <v>0</v>
          </cell>
          <cell r="D4">
            <v>-8584.76931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8">
          <cell r="B8">
            <v>0</v>
          </cell>
          <cell r="C8">
            <v>-2671.4175876599998</v>
          </cell>
          <cell r="D8">
            <v>0</v>
          </cell>
          <cell r="F8">
            <v>-72.051</v>
          </cell>
          <cell r="G8">
            <v>0</v>
          </cell>
          <cell r="H8">
            <v>0</v>
          </cell>
          <cell r="I8">
            <v>-72.051</v>
          </cell>
        </row>
        <row r="9">
          <cell r="I9">
            <v>-142.6866</v>
          </cell>
        </row>
        <row r="10">
          <cell r="B10">
            <v>0</v>
          </cell>
          <cell r="C10">
            <v>-937.6759020000002</v>
          </cell>
          <cell r="D10">
            <v>0</v>
          </cell>
          <cell r="F10">
            <v>-142.6866</v>
          </cell>
          <cell r="G10">
            <v>0</v>
          </cell>
          <cell r="H10">
            <v>0</v>
          </cell>
          <cell r="I10">
            <v>-142.6866</v>
          </cell>
        </row>
        <row r="12">
          <cell r="B12">
            <v>-4146.648</v>
          </cell>
          <cell r="C12">
            <v>0</v>
          </cell>
          <cell r="D12">
            <v>-3832.7949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4">
          <cell r="B14">
            <v>-3897.094</v>
          </cell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B3">
            <v>-1670.766012</v>
          </cell>
          <cell r="C3">
            <v>-123.38108100000001</v>
          </cell>
          <cell r="D3">
            <v>-991.7099610000001</v>
          </cell>
          <cell r="F3">
            <v>125.650874</v>
          </cell>
          <cell r="G3">
            <v>0</v>
          </cell>
          <cell r="H3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>
            <v>0</v>
          </cell>
          <cell r="D3">
            <v>-609.195333</v>
          </cell>
        </row>
        <row r="4">
          <cell r="C4">
            <v>-518.7962068</v>
          </cell>
          <cell r="D4">
            <v>-227.5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BG8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5.8515625" style="0" customWidth="1"/>
    <col min="2" max="2" width="12.28125" style="122" hidden="1" customWidth="1"/>
    <col min="3" max="3" width="13.57421875" style="122" hidden="1" customWidth="1"/>
    <col min="4" max="4" width="17.421875" style="0" hidden="1" customWidth="1"/>
    <col min="5" max="5" width="20.28125" style="0" customWidth="1"/>
    <col min="6" max="6" width="14.7109375" style="0" hidden="1" customWidth="1"/>
    <col min="7" max="7" width="11.00390625" style="0" hidden="1" customWidth="1"/>
    <col min="8" max="8" width="27.140625" style="0" hidden="1" customWidth="1"/>
    <col min="9" max="9" width="15.57421875" style="0" hidden="1" customWidth="1"/>
    <col min="10" max="10" width="19.28125" style="0" hidden="1" customWidth="1"/>
    <col min="11" max="11" width="14.7109375" style="0" hidden="1" customWidth="1"/>
    <col min="12" max="14" width="7.7109375" style="7" hidden="1" customWidth="1"/>
    <col min="15" max="15" width="19.28125" style="0" hidden="1" customWidth="1"/>
    <col min="16" max="18" width="7.7109375" style="7" hidden="1" customWidth="1"/>
    <col min="19" max="19" width="16.8515625" style="0" hidden="1" customWidth="1"/>
    <col min="20" max="20" width="11.57421875" style="0" hidden="1" customWidth="1"/>
    <col min="21" max="21" width="13.140625" style="0" hidden="1" customWidth="1"/>
    <col min="22" max="23" width="9.00390625" style="0" hidden="1" customWidth="1"/>
    <col min="24" max="24" width="8.140625" style="0" hidden="1" customWidth="1"/>
    <col min="25" max="25" width="10.421875" style="0" hidden="1" customWidth="1"/>
    <col min="26" max="27" width="6.8515625" style="0" hidden="1" customWidth="1"/>
    <col min="28" max="28" width="7.7109375" style="0" hidden="1" customWidth="1"/>
    <col min="29" max="29" width="21.421875" style="0" hidden="1" customWidth="1"/>
    <col min="30" max="31" width="6.00390625" style="0" hidden="1" customWidth="1"/>
    <col min="32" max="32" width="4.7109375" style="0" hidden="1" customWidth="1"/>
    <col min="33" max="33" width="11.421875" style="0" hidden="1" customWidth="1"/>
    <col min="34" max="34" width="10.28125" style="0" hidden="1" customWidth="1"/>
    <col min="35" max="35" width="11.7109375" style="0" hidden="1" customWidth="1"/>
    <col min="36" max="41" width="9.140625" style="0" hidden="1" customWidth="1"/>
    <col min="42" max="43" width="0" style="0" hidden="1" customWidth="1"/>
    <col min="44" max="44" width="9.140625" style="0" hidden="1" customWidth="1"/>
    <col min="45" max="46" width="0" style="0" hidden="1" customWidth="1"/>
    <col min="47" max="47" width="9.140625" style="0" hidden="1" customWidth="1"/>
    <col min="48" max="49" width="0" style="0" hidden="1" customWidth="1"/>
    <col min="50" max="50" width="9.140625" style="0" hidden="1" customWidth="1"/>
    <col min="51" max="52" width="0" style="0" hidden="1" customWidth="1"/>
    <col min="53" max="55" width="9.140625" style="0" hidden="1" customWidth="1"/>
    <col min="56" max="56" width="19.140625" style="0" customWidth="1"/>
    <col min="57" max="57" width="20.00390625" style="0" customWidth="1"/>
    <col min="58" max="58" width="16.57421875" style="0" customWidth="1"/>
    <col min="59" max="59" width="13.140625" style="0" customWidth="1"/>
  </cols>
  <sheetData>
    <row r="1" spans="1:35" ht="21.75" customHeight="1">
      <c r="A1" s="251" t="s">
        <v>0</v>
      </c>
      <c r="B1" s="262"/>
      <c r="C1" s="262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</row>
    <row r="2" spans="1:35" ht="33" customHeight="1">
      <c r="A2" s="308" t="s">
        <v>194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</row>
    <row r="3" spans="1:58" ht="26.25">
      <c r="A3" s="25"/>
      <c r="B3" s="338"/>
      <c r="C3" s="338"/>
      <c r="D3" s="338"/>
      <c r="E3" s="338"/>
      <c r="F3" s="331">
        <v>2010</v>
      </c>
      <c r="G3" s="331"/>
      <c r="H3" s="331"/>
      <c r="I3" s="331"/>
      <c r="J3" s="332"/>
      <c r="K3" s="330">
        <v>2010</v>
      </c>
      <c r="L3" s="331"/>
      <c r="M3" s="331"/>
      <c r="N3" s="331"/>
      <c r="O3" s="331"/>
      <c r="P3" s="331"/>
      <c r="Q3" s="331"/>
      <c r="R3" s="331"/>
      <c r="S3" s="331"/>
      <c r="T3" s="331"/>
      <c r="U3" s="332"/>
      <c r="V3" s="11"/>
      <c r="W3" s="11"/>
      <c r="X3" s="11"/>
      <c r="Y3" s="124"/>
      <c r="Z3" s="124"/>
      <c r="AA3" s="124"/>
      <c r="AB3" s="124"/>
      <c r="AC3" s="124">
        <v>2008</v>
      </c>
      <c r="AD3" s="124"/>
      <c r="AE3" s="124"/>
      <c r="AF3" s="124"/>
      <c r="AG3" s="11"/>
      <c r="AH3" s="326"/>
      <c r="AI3" s="255"/>
      <c r="AJ3" s="327"/>
      <c r="AK3" s="327"/>
      <c r="AL3" s="327"/>
      <c r="AM3" s="327"/>
      <c r="AN3" s="327"/>
      <c r="AO3" s="327"/>
      <c r="AP3" s="327"/>
      <c r="AQ3" s="327"/>
      <c r="AR3" s="327"/>
      <c r="AS3" s="327"/>
      <c r="AT3" s="327"/>
      <c r="AU3" s="327"/>
      <c r="AV3" s="327"/>
      <c r="AW3" s="327"/>
      <c r="AX3" s="327"/>
      <c r="AY3" s="327"/>
      <c r="AZ3" s="327"/>
      <c r="BA3" s="327"/>
      <c r="BB3" s="327"/>
      <c r="BC3" s="327"/>
      <c r="BD3" s="346">
        <v>2016</v>
      </c>
      <c r="BE3" s="346"/>
      <c r="BF3" s="346"/>
    </row>
    <row r="4" spans="1:58" ht="23.25">
      <c r="A4" s="25"/>
      <c r="B4" s="339"/>
      <c r="C4" s="340"/>
      <c r="D4" s="340"/>
      <c r="E4" s="340"/>
      <c r="F4" s="325" t="s">
        <v>117</v>
      </c>
      <c r="G4" s="333"/>
      <c r="H4" s="333"/>
      <c r="I4" s="333"/>
      <c r="J4" s="334"/>
      <c r="K4" s="324" t="s">
        <v>121</v>
      </c>
      <c r="L4" s="333"/>
      <c r="M4" s="333"/>
      <c r="N4" s="333"/>
      <c r="O4" s="333"/>
      <c r="P4" s="333"/>
      <c r="Q4" s="333"/>
      <c r="R4" s="333"/>
      <c r="S4" s="333"/>
      <c r="T4" s="333"/>
      <c r="U4" s="334"/>
      <c r="V4" s="328"/>
      <c r="W4" s="328"/>
      <c r="X4" s="328"/>
      <c r="Y4" s="114"/>
      <c r="Z4" s="114"/>
      <c r="AA4" s="114"/>
      <c r="AB4" s="114"/>
      <c r="AC4" s="126" t="s">
        <v>135</v>
      </c>
      <c r="AD4" s="126"/>
      <c r="AE4" s="126"/>
      <c r="AF4" s="126"/>
      <c r="AG4" s="114"/>
      <c r="AH4" s="313"/>
      <c r="AI4" s="329"/>
      <c r="AJ4" s="327"/>
      <c r="AK4" s="327"/>
      <c r="AL4" s="327"/>
      <c r="AM4" s="327"/>
      <c r="AN4" s="327"/>
      <c r="AO4" s="327"/>
      <c r="AP4" s="327"/>
      <c r="AQ4" s="327"/>
      <c r="AR4" s="327"/>
      <c r="AS4" s="327"/>
      <c r="AT4" s="327"/>
      <c r="AU4" s="327"/>
      <c r="AV4" s="327"/>
      <c r="AW4" s="327"/>
      <c r="AX4" s="327"/>
      <c r="AY4" s="327"/>
      <c r="AZ4" s="327"/>
      <c r="BA4" s="327"/>
      <c r="BB4" s="327"/>
      <c r="BC4" s="327"/>
      <c r="BD4" s="345" t="s">
        <v>187</v>
      </c>
      <c r="BE4" s="345"/>
      <c r="BF4" s="345"/>
    </row>
    <row r="5" spans="1:59" ht="45.75" customHeight="1">
      <c r="A5" s="270"/>
      <c r="B5" s="263" t="s">
        <v>113</v>
      </c>
      <c r="C5" s="264" t="s">
        <v>114</v>
      </c>
      <c r="D5" s="229" t="s">
        <v>115</v>
      </c>
      <c r="E5" s="172" t="s">
        <v>193</v>
      </c>
      <c r="F5" s="272" t="s">
        <v>118</v>
      </c>
      <c r="G5" s="272" t="s">
        <v>119</v>
      </c>
      <c r="H5" s="272" t="s">
        <v>120</v>
      </c>
      <c r="I5" s="272" t="s">
        <v>129</v>
      </c>
      <c r="J5" s="272" t="s">
        <v>104</v>
      </c>
      <c r="K5" s="254" t="s">
        <v>122</v>
      </c>
      <c r="L5" s="229"/>
      <c r="M5" s="229"/>
      <c r="N5" s="229"/>
      <c r="O5" s="254" t="s">
        <v>123</v>
      </c>
      <c r="P5" s="229"/>
      <c r="Q5" s="229"/>
      <c r="R5" s="229"/>
      <c r="S5" s="254" t="s">
        <v>120</v>
      </c>
      <c r="T5" s="228" t="s">
        <v>136</v>
      </c>
      <c r="U5" s="230" t="s">
        <v>111</v>
      </c>
      <c r="V5" s="161"/>
      <c r="W5" s="161"/>
      <c r="X5" s="161"/>
      <c r="Y5" s="137" t="s">
        <v>122</v>
      </c>
      <c r="Z5" s="137"/>
      <c r="AA5" s="137"/>
      <c r="AB5" s="137"/>
      <c r="AC5" s="137" t="s">
        <v>123</v>
      </c>
      <c r="AD5" s="94"/>
      <c r="AE5" s="94"/>
      <c r="AF5" s="94"/>
      <c r="AG5" s="94" t="s">
        <v>120</v>
      </c>
      <c r="AH5" s="153" t="s">
        <v>138</v>
      </c>
      <c r="AI5" s="94" t="s">
        <v>137</v>
      </c>
      <c r="BD5" s="335" t="s">
        <v>113</v>
      </c>
      <c r="BE5" s="336" t="s">
        <v>114</v>
      </c>
      <c r="BF5" s="337" t="s">
        <v>115</v>
      </c>
      <c r="BG5" s="172" t="s">
        <v>192</v>
      </c>
    </row>
    <row r="6" spans="1:59" ht="15.75">
      <c r="A6" s="270"/>
      <c r="B6" s="265" t="s">
        <v>41</v>
      </c>
      <c r="C6" s="265" t="s">
        <v>41</v>
      </c>
      <c r="D6" s="233" t="s">
        <v>41</v>
      </c>
      <c r="E6" s="234" t="s">
        <v>41</v>
      </c>
      <c r="F6" s="234" t="s">
        <v>41</v>
      </c>
      <c r="G6" s="234" t="s">
        <v>41</v>
      </c>
      <c r="H6" s="234" t="s">
        <v>41</v>
      </c>
      <c r="I6" s="234" t="s">
        <v>41</v>
      </c>
      <c r="J6" s="234" t="s">
        <v>41</v>
      </c>
      <c r="K6" s="141" t="s">
        <v>41</v>
      </c>
      <c r="O6" s="113" t="s">
        <v>41</v>
      </c>
      <c r="P6" s="113" t="s">
        <v>41</v>
      </c>
      <c r="Q6" s="113" t="s">
        <v>41</v>
      </c>
      <c r="R6" s="113" t="s">
        <v>41</v>
      </c>
      <c r="S6" s="113" t="s">
        <v>41</v>
      </c>
      <c r="T6" s="114" t="s">
        <v>41</v>
      </c>
      <c r="U6" s="141" t="s">
        <v>41</v>
      </c>
      <c r="V6" s="141"/>
      <c r="W6" s="141"/>
      <c r="X6" s="141"/>
      <c r="Y6" s="141" t="s">
        <v>41</v>
      </c>
      <c r="Z6" s="141" t="s">
        <v>164</v>
      </c>
      <c r="AA6" s="141" t="s">
        <v>165</v>
      </c>
      <c r="AB6" s="141" t="s">
        <v>166</v>
      </c>
      <c r="AC6" s="141" t="s">
        <v>41</v>
      </c>
      <c r="AD6" s="141"/>
      <c r="AE6" s="141"/>
      <c r="AF6" s="141"/>
      <c r="AG6" s="141" t="s">
        <v>41</v>
      </c>
      <c r="AH6" s="141" t="s">
        <v>41</v>
      </c>
      <c r="AI6" s="141"/>
      <c r="BD6" s="234" t="s">
        <v>41</v>
      </c>
      <c r="BE6" s="234" t="s">
        <v>41</v>
      </c>
      <c r="BF6" s="234" t="s">
        <v>41</v>
      </c>
      <c r="BG6" s="234" t="s">
        <v>41</v>
      </c>
    </row>
    <row r="7" spans="1:59" ht="15.75">
      <c r="A7" s="235" t="s">
        <v>3</v>
      </c>
      <c r="B7" s="297"/>
      <c r="C7" s="259"/>
      <c r="D7" s="189"/>
      <c r="E7" s="187"/>
      <c r="F7" s="9"/>
      <c r="G7" s="9"/>
      <c r="H7" s="9"/>
      <c r="I7" s="9"/>
      <c r="J7" s="9"/>
      <c r="K7" s="9"/>
      <c r="O7" s="44"/>
      <c r="S7" s="44"/>
      <c r="T7" s="146"/>
      <c r="U7" s="9"/>
      <c r="V7" s="18"/>
      <c r="W7" s="18"/>
      <c r="X7" s="18"/>
      <c r="Y7" s="83"/>
      <c r="Z7" s="83"/>
      <c r="AA7" s="83"/>
      <c r="AB7" s="83"/>
      <c r="AC7" s="83"/>
      <c r="AD7" s="83"/>
      <c r="AE7" s="83"/>
      <c r="AF7" s="83"/>
      <c r="AG7" s="83"/>
      <c r="AH7" s="127"/>
      <c r="AI7" s="156"/>
      <c r="BD7" s="156"/>
      <c r="BE7" s="156"/>
      <c r="BF7" s="156"/>
      <c r="BG7" s="156"/>
    </row>
    <row r="8" spans="1:59" ht="15">
      <c r="A8" s="237" t="s">
        <v>4</v>
      </c>
      <c r="B8" s="266"/>
      <c r="C8" s="266"/>
      <c r="D8" s="189"/>
      <c r="E8" s="187"/>
      <c r="F8" s="18"/>
      <c r="G8" s="18"/>
      <c r="H8" s="18"/>
      <c r="I8" s="18"/>
      <c r="J8" s="18"/>
      <c r="K8" s="18"/>
      <c r="O8" s="44"/>
      <c r="S8" s="44"/>
      <c r="T8" s="146"/>
      <c r="U8" s="18"/>
      <c r="V8" s="18"/>
      <c r="W8" s="18"/>
      <c r="X8" s="18"/>
      <c r="Y8" s="83"/>
      <c r="Z8" s="83"/>
      <c r="AA8" s="83"/>
      <c r="AB8" s="83"/>
      <c r="AC8" s="83"/>
      <c r="AD8" s="83"/>
      <c r="AE8" s="83"/>
      <c r="AF8" s="83"/>
      <c r="AG8" s="83"/>
      <c r="AH8" s="127"/>
      <c r="AI8" s="83"/>
      <c r="BD8" s="83"/>
      <c r="BE8" s="83"/>
      <c r="BF8" s="83"/>
      <c r="BG8" s="83"/>
    </row>
    <row r="9" spans="1:59" s="166" customFormat="1" ht="15">
      <c r="A9" s="178"/>
      <c r="B9" s="298"/>
      <c r="C9" s="288"/>
      <c r="D9" s="293"/>
      <c r="E9" s="208"/>
      <c r="F9" s="178"/>
      <c r="G9" s="178"/>
      <c r="H9" s="178"/>
      <c r="I9" s="178"/>
      <c r="J9" s="178"/>
      <c r="K9" s="178"/>
      <c r="O9" s="294"/>
      <c r="S9" s="294"/>
      <c r="T9" s="289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289"/>
      <c r="AI9" s="178"/>
      <c r="BD9" s="178"/>
      <c r="BE9" s="178"/>
      <c r="BF9" s="178"/>
      <c r="BG9" s="322"/>
    </row>
    <row r="10" spans="1:59" s="166" customFormat="1" ht="16.5">
      <c r="A10" s="178" t="s">
        <v>6</v>
      </c>
      <c r="B10" s="304">
        <f>109870251825/1000000</f>
        <v>109870.251825</v>
      </c>
      <c r="C10" s="300">
        <f>6200771368/1000000</f>
        <v>6200.771368</v>
      </c>
      <c r="D10" s="300">
        <f>816235870/1000000</f>
        <v>816.23587</v>
      </c>
      <c r="E10" s="301">
        <f>B10+C10+D10</f>
        <v>116887.259063</v>
      </c>
      <c r="F10" s="208">
        <v>38044.3</v>
      </c>
      <c r="G10" s="208">
        <v>14303.46</v>
      </c>
      <c r="H10" s="208">
        <f>H9</f>
        <v>0</v>
      </c>
      <c r="I10" s="208">
        <f>F10+G10+H10</f>
        <v>52347.76</v>
      </c>
      <c r="J10" s="208">
        <f>I10+E10</f>
        <v>169235.019063</v>
      </c>
      <c r="K10" s="208">
        <v>34708</v>
      </c>
      <c r="L10" s="287" t="e">
        <f>'[5]Sheet1'!$B$31+'[6]Sheet1'!$B$14</f>
        <v>#REF!</v>
      </c>
      <c r="M10" s="287" t="e">
        <f>'[5]Sheet1'!$C$31+'[6]Sheet1'!$C$14</f>
        <v>#REF!</v>
      </c>
      <c r="N10" s="287" t="e">
        <f>'[5]Sheet1'!$D$31+'[6]Sheet1'!$D$14</f>
        <v>#REF!</v>
      </c>
      <c r="O10" s="208">
        <v>20606</v>
      </c>
      <c r="P10" s="287" t="e">
        <f>'[5]Sheet1'!$B$32</f>
        <v>#REF!</v>
      </c>
      <c r="Q10" s="287" t="e">
        <f>'[5]Sheet1'!$C$32</f>
        <v>#REF!</v>
      </c>
      <c r="R10" s="287" t="e">
        <f>'[5]Sheet1'!$D$32</f>
        <v>#REF!</v>
      </c>
      <c r="S10" s="208">
        <v>0</v>
      </c>
      <c r="T10" s="211">
        <f>S10+O10+K10</f>
        <v>55314</v>
      </c>
      <c r="U10" s="208">
        <f>T10+J10</f>
        <v>224549.019063</v>
      </c>
      <c r="V10" s="295" t="e">
        <f>'[5]Sheet1'!$F$30</f>
        <v>#REF!</v>
      </c>
      <c r="W10" s="295" t="e">
        <f>'[5]Sheet1'!$G$30</f>
        <v>#REF!</v>
      </c>
      <c r="X10" s="295" t="e">
        <f>'[5]Sheet1'!$H$30</f>
        <v>#REF!</v>
      </c>
      <c r="Y10" s="208" t="e">
        <f>SUM(V10:X10)*-1</f>
        <v>#REF!</v>
      </c>
      <c r="Z10" s="287" t="e">
        <f>'[5]Sheet1'!$F$31+'[6]Sheet1'!$F$14</f>
        <v>#REF!</v>
      </c>
      <c r="AA10" s="287" t="e">
        <f>'[5]Sheet1'!$G$31+'[6]Sheet1'!$G$14</f>
        <v>#REF!</v>
      </c>
      <c r="AB10" s="287" t="e">
        <f>'[5]Sheet1'!$H$31+'[6]Sheet1'!$H$14</f>
        <v>#REF!</v>
      </c>
      <c r="AC10" s="208" t="e">
        <f>SUM(Z10:AB10)*-1</f>
        <v>#REF!</v>
      </c>
      <c r="AD10" s="287" t="e">
        <f>'[5]Sheet1'!$F$32</f>
        <v>#REF!</v>
      </c>
      <c r="AE10" s="287" t="e">
        <f>'[5]Sheet1'!$G$32</f>
        <v>#REF!</v>
      </c>
      <c r="AF10" s="287" t="e">
        <f>'[5]Sheet1'!$H$32</f>
        <v>#REF!</v>
      </c>
      <c r="AG10" s="208" t="e">
        <f>SUM(AD10:AF10)*-1</f>
        <v>#REF!</v>
      </c>
      <c r="AH10" s="211" t="e">
        <f>AG10+AC10+Y10</f>
        <v>#REF!</v>
      </c>
      <c r="AI10" s="208" t="e">
        <f>AH10+T10+I10+E10</f>
        <v>#REF!</v>
      </c>
      <c r="BD10" s="342">
        <f>36465087703/1000000</f>
        <v>36465.087703</v>
      </c>
      <c r="BE10" s="342"/>
      <c r="BF10" s="342"/>
      <c r="BG10" s="342">
        <f>E10+BD10+BE10+BF10</f>
        <v>153352.346766</v>
      </c>
    </row>
    <row r="11" spans="1:59" s="166" customFormat="1" ht="15">
      <c r="A11" s="178"/>
      <c r="B11" s="299"/>
      <c r="C11" s="300"/>
      <c r="D11" s="300"/>
      <c r="E11" s="301"/>
      <c r="F11" s="208"/>
      <c r="G11" s="208"/>
      <c r="H11" s="208"/>
      <c r="I11" s="208"/>
      <c r="J11" s="208"/>
      <c r="K11" s="208"/>
      <c r="L11" s="287"/>
      <c r="M11" s="287"/>
      <c r="N11" s="287"/>
      <c r="O11" s="208"/>
      <c r="P11" s="287"/>
      <c r="Q11" s="287"/>
      <c r="R11" s="287"/>
      <c r="S11" s="208"/>
      <c r="T11" s="211"/>
      <c r="U11" s="208"/>
      <c r="Y11" s="208"/>
      <c r="Z11" s="287"/>
      <c r="AA11" s="287"/>
      <c r="AB11" s="287"/>
      <c r="AC11" s="208"/>
      <c r="AD11" s="287"/>
      <c r="AE11" s="287"/>
      <c r="AF11" s="287"/>
      <c r="AG11" s="208"/>
      <c r="AH11" s="211"/>
      <c r="AI11" s="208"/>
      <c r="BD11" s="342"/>
      <c r="BE11" s="342"/>
      <c r="BF11" s="342"/>
      <c r="BG11" s="342">
        <f aca="true" t="shared" si="0" ref="BG11:BG32">E11+BD11+BE11+BF11</f>
        <v>0</v>
      </c>
    </row>
    <row r="12" spans="1:59" s="166" customFormat="1" ht="16.5">
      <c r="A12" s="178" t="s">
        <v>12</v>
      </c>
      <c r="B12" s="304">
        <f>39505187197/1000000</f>
        <v>39505.187197</v>
      </c>
      <c r="C12" s="300">
        <f>37764662206/1000000</f>
        <v>37764.662206</v>
      </c>
      <c r="D12" s="300">
        <f>16859337689/1000000</f>
        <v>16859.337689</v>
      </c>
      <c r="E12" s="301">
        <f>B12+C12+D12</f>
        <v>94129.18709200001</v>
      </c>
      <c r="F12" s="208">
        <v>5263.25</v>
      </c>
      <c r="G12" s="208">
        <v>2648.45</v>
      </c>
      <c r="H12" s="208">
        <f>H11</f>
        <v>0</v>
      </c>
      <c r="I12" s="208">
        <f>F12+G12+H12</f>
        <v>7911.7</v>
      </c>
      <c r="J12" s="208">
        <v>15740</v>
      </c>
      <c r="K12" s="208">
        <v>5259</v>
      </c>
      <c r="L12" s="287">
        <f>'[5]Sheet1'!$B$24+'[6]Sheet1'!$B$10</f>
        <v>-519.631119</v>
      </c>
      <c r="M12" s="287">
        <f>'[5]Sheet1'!$C$24+'[6]Sheet1'!$C$10</f>
        <v>-937.6759020000002</v>
      </c>
      <c r="N12" s="287">
        <f>'[5]Sheet1'!$D$24+'[6]Sheet1'!$D$10</f>
        <v>-6959.091526</v>
      </c>
      <c r="O12" s="208">
        <v>7803</v>
      </c>
      <c r="P12" s="287">
        <f>'[5]Sheet1'!$B$25</f>
        <v>-58989.288116840005</v>
      </c>
      <c r="Q12" s="287">
        <f>'[5]Sheet1'!$C$25</f>
        <v>-70812.61724302999</v>
      </c>
      <c r="R12" s="287">
        <f>'[5]Sheet1'!$D$25</f>
        <v>-127896.97752401001</v>
      </c>
      <c r="S12" s="208">
        <v>165</v>
      </c>
      <c r="T12" s="211">
        <f>S12+O12+K12</f>
        <v>13227</v>
      </c>
      <c r="U12" s="208">
        <f>T12+J12</f>
        <v>28967</v>
      </c>
      <c r="V12" s="295">
        <f>'[5]Sheet1'!$F$23</f>
        <v>-364.400183</v>
      </c>
      <c r="W12" s="295">
        <f>'[5]Sheet1'!$G$23</f>
        <v>0</v>
      </c>
      <c r="X12" s="295">
        <f>'[5]Sheet1'!$H$23</f>
        <v>0</v>
      </c>
      <c r="Y12" s="208">
        <f>SUM(V12:X12)*-1</f>
        <v>364.400183</v>
      </c>
      <c r="Z12" s="287">
        <f>'[5]Sheet1'!$F$24+'[6]Sheet1'!$F$10</f>
        <v>-3231.9830899999997</v>
      </c>
      <c r="AA12" s="287">
        <f>'[5]Sheet1'!$G$24+'[6]Sheet1'!$G$10</f>
        <v>-45</v>
      </c>
      <c r="AB12" s="287">
        <f>'[5]Sheet1'!$H$24+'[6]Sheet1'!$H$10</f>
        <v>0</v>
      </c>
      <c r="AC12" s="208">
        <f>SUM(Z12:AB12)*-1</f>
        <v>3276.9830899999997</v>
      </c>
      <c r="AD12" s="287">
        <f>'[5]Sheet1'!$F$25</f>
        <v>-80931.67191121</v>
      </c>
      <c r="AE12" s="287">
        <f>'[5]Sheet1'!$G$25</f>
        <v>-2652.2766579999998</v>
      </c>
      <c r="AF12" s="287">
        <f>'[5]Sheet1'!$H$25</f>
        <v>0</v>
      </c>
      <c r="AG12" s="208">
        <f>SUM(AD12:AF12)*-1</f>
        <v>83583.94856921</v>
      </c>
      <c r="AH12" s="211">
        <f>AG12+AC12+Y12</f>
        <v>87225.33184221</v>
      </c>
      <c r="AI12" s="208">
        <f>AH12+T12+I12+E12</f>
        <v>202493.21893421002</v>
      </c>
      <c r="BD12" s="342">
        <f>14429189515/1000000</f>
        <v>14429.189515</v>
      </c>
      <c r="BE12" s="342"/>
      <c r="BF12" s="342"/>
      <c r="BG12" s="342">
        <f t="shared" si="0"/>
        <v>108558.37660700001</v>
      </c>
    </row>
    <row r="13" spans="1:59" s="166" customFormat="1" ht="15">
      <c r="A13" s="178"/>
      <c r="B13" s="299"/>
      <c r="C13" s="300"/>
      <c r="D13" s="300"/>
      <c r="E13" s="301"/>
      <c r="F13" s="208"/>
      <c r="G13" s="208"/>
      <c r="H13" s="208"/>
      <c r="I13" s="208"/>
      <c r="J13" s="208"/>
      <c r="K13" s="208"/>
      <c r="L13" s="287"/>
      <c r="M13" s="287"/>
      <c r="N13" s="287"/>
      <c r="O13" s="208"/>
      <c r="P13" s="287"/>
      <c r="Q13" s="287"/>
      <c r="R13" s="287"/>
      <c r="S13" s="208"/>
      <c r="T13" s="211"/>
      <c r="U13" s="208"/>
      <c r="Y13" s="208"/>
      <c r="Z13" s="287"/>
      <c r="AA13" s="287"/>
      <c r="AB13" s="287"/>
      <c r="AC13" s="208"/>
      <c r="AD13" s="287"/>
      <c r="AE13" s="287"/>
      <c r="AF13" s="287"/>
      <c r="AG13" s="208"/>
      <c r="AH13" s="211"/>
      <c r="AI13" s="208"/>
      <c r="BD13" s="342"/>
      <c r="BE13" s="342"/>
      <c r="BF13" s="342"/>
      <c r="BG13" s="342">
        <f t="shared" si="0"/>
        <v>0</v>
      </c>
    </row>
    <row r="14" spans="1:59" s="166" customFormat="1" ht="16.5">
      <c r="A14" s="178" t="s">
        <v>18</v>
      </c>
      <c r="B14" s="304">
        <f>1935951597/1000000</f>
        <v>1935.951597</v>
      </c>
      <c r="C14" s="300">
        <f>160000000/1000000</f>
        <v>160</v>
      </c>
      <c r="D14" s="300">
        <v>0</v>
      </c>
      <c r="E14" s="301">
        <f>B14+C14+D14</f>
        <v>2095.951597</v>
      </c>
      <c r="F14" s="208">
        <v>14167.18</v>
      </c>
      <c r="G14" s="208">
        <v>416.64</v>
      </c>
      <c r="H14" s="208">
        <v>1964</v>
      </c>
      <c r="I14" s="208">
        <f>F14+G14+H14</f>
        <v>16547.82</v>
      </c>
      <c r="J14" s="208">
        <f>I14+E14</f>
        <v>18643.771597</v>
      </c>
      <c r="K14" s="208">
        <v>13737</v>
      </c>
      <c r="L14" s="287">
        <f>'[5]Sheet1'!$B$20+'[6]Sheet1'!$B$8</f>
        <v>0</v>
      </c>
      <c r="M14" s="287">
        <f>'[5]Sheet1'!$C$20+'[6]Sheet1'!$C$8</f>
        <v>-2671.4175876599998</v>
      </c>
      <c r="N14" s="287">
        <f>'[5]Sheet1'!$D$20+'[6]Sheet1'!$D$8</f>
        <v>-812.8953469999999</v>
      </c>
      <c r="O14" s="208">
        <v>375</v>
      </c>
      <c r="P14" s="287">
        <f>'[5]Sheet1'!$B$21</f>
        <v>-763.506331</v>
      </c>
      <c r="Q14" s="287">
        <f>'[5]Sheet1'!$C$21</f>
        <v>0</v>
      </c>
      <c r="R14" s="287">
        <f>'[5]Sheet1'!$D$21</f>
        <v>-579</v>
      </c>
      <c r="S14" s="208">
        <v>430</v>
      </c>
      <c r="T14" s="211">
        <f>S14+O14+K14</f>
        <v>14542</v>
      </c>
      <c r="U14" s="208">
        <f>T14+J14</f>
        <v>33185.771597</v>
      </c>
      <c r="V14" s="295">
        <f>'[5]Sheet1'!$F$19</f>
        <v>-164.280899</v>
      </c>
      <c r="W14" s="295">
        <f>'[5]Sheet1'!$G$19</f>
        <v>0</v>
      </c>
      <c r="X14" s="295">
        <f>'[5]Sheet1'!$H$19</f>
        <v>0</v>
      </c>
      <c r="Y14" s="208">
        <f>SUM(V14:X14)*-1</f>
        <v>164.280899</v>
      </c>
      <c r="Z14" s="287">
        <f>'[5]Sheet1'!$F$20+'[6]Sheet1'!$F$8</f>
        <v>-1240.6762199999998</v>
      </c>
      <c r="AA14" s="287">
        <f>'[5]Sheet1'!$G$20+'[6]Sheet1'!$G$8</f>
        <v>-273.2153</v>
      </c>
      <c r="AB14" s="287">
        <f>'[5]Sheet1'!$H$20+'[6]Sheet1'!$H$8</f>
        <v>0</v>
      </c>
      <c r="AC14" s="208">
        <f>SUM(Z14:AB14)*-1</f>
        <v>1513.89152</v>
      </c>
      <c r="AD14" s="287">
        <f>'[5]Sheet1'!$F$21</f>
        <v>0</v>
      </c>
      <c r="AE14" s="287">
        <f>'[5]Sheet1'!$G$21</f>
        <v>0</v>
      </c>
      <c r="AF14" s="287">
        <f>'[5]Sheet1'!$H$21</f>
        <v>0</v>
      </c>
      <c r="AG14" s="208">
        <f>SUM(AD14:AF14)*-1</f>
        <v>0</v>
      </c>
      <c r="AH14" s="211">
        <f>AG14+AC14+Y14</f>
        <v>1678.172419</v>
      </c>
      <c r="AI14" s="208">
        <f>AH14+T14+I14+E14</f>
        <v>34863.944016</v>
      </c>
      <c r="BD14" s="342">
        <f>524668224/1000000</f>
        <v>524.668224</v>
      </c>
      <c r="BE14" s="342">
        <f>36596272347/1000000</f>
        <v>36596.272347</v>
      </c>
      <c r="BF14" s="342"/>
      <c r="BG14" s="342">
        <f t="shared" si="0"/>
        <v>39216.892168</v>
      </c>
    </row>
    <row r="15" spans="1:59" s="166" customFormat="1" ht="15">
      <c r="A15" s="178"/>
      <c r="B15" s="299"/>
      <c r="C15" s="300"/>
      <c r="D15" s="302"/>
      <c r="E15" s="301"/>
      <c r="F15" s="178"/>
      <c r="G15" s="178"/>
      <c r="H15" s="208"/>
      <c r="I15" s="208"/>
      <c r="J15" s="208"/>
      <c r="K15" s="208"/>
      <c r="L15" s="287"/>
      <c r="M15" s="287"/>
      <c r="N15" s="287"/>
      <c r="O15" s="208"/>
      <c r="P15" s="287"/>
      <c r="Q15" s="287"/>
      <c r="R15" s="287"/>
      <c r="S15" s="208"/>
      <c r="T15" s="211"/>
      <c r="U15" s="208"/>
      <c r="Y15" s="208"/>
      <c r="Z15" s="287"/>
      <c r="AA15" s="287"/>
      <c r="AB15" s="287"/>
      <c r="AC15" s="208"/>
      <c r="AD15" s="287"/>
      <c r="AE15" s="287"/>
      <c r="AF15" s="287"/>
      <c r="AG15" s="208"/>
      <c r="AH15" s="211"/>
      <c r="AI15" s="208"/>
      <c r="BD15" s="342"/>
      <c r="BE15" s="342"/>
      <c r="BF15" s="342"/>
      <c r="BG15" s="342">
        <f t="shared" si="0"/>
        <v>0</v>
      </c>
    </row>
    <row r="16" spans="1:59" s="166" customFormat="1" ht="16.5">
      <c r="A16" s="178" t="s">
        <v>105</v>
      </c>
      <c r="B16" s="304">
        <f>14715857239/1000000</f>
        <v>14715.857239</v>
      </c>
      <c r="C16" s="303">
        <f>7295500000/1000000</f>
        <v>7295.5</v>
      </c>
      <c r="D16" s="300">
        <v>0</v>
      </c>
      <c r="E16" s="301">
        <f>B16+C16+D16</f>
        <v>22011.357239</v>
      </c>
      <c r="F16" s="208">
        <v>12165.39</v>
      </c>
      <c r="G16" s="208">
        <v>10343.15</v>
      </c>
      <c r="H16" s="208">
        <f>H15</f>
        <v>0</v>
      </c>
      <c r="I16" s="208">
        <f>F16+G16+H16</f>
        <v>22508.54</v>
      </c>
      <c r="J16" s="208">
        <v>41144</v>
      </c>
      <c r="K16" s="208">
        <v>10426</v>
      </c>
      <c r="L16" s="287">
        <f>'[5]Sheet1'!$B$8</f>
        <v>-519.20115905</v>
      </c>
      <c r="M16" s="287">
        <f>'[5]Sheet1'!$C$8</f>
        <v>-1384.6732630000001</v>
      </c>
      <c r="N16" s="287">
        <f>'[5]Sheet1'!$D$8</f>
        <v>-1330.4139950000003</v>
      </c>
      <c r="O16" s="208">
        <v>15474</v>
      </c>
      <c r="P16" s="287">
        <f>'[5]Sheet1'!$B$9</f>
        <v>0</v>
      </c>
      <c r="Q16" s="287">
        <f>'[5]Sheet1'!$C$9</f>
        <v>0</v>
      </c>
      <c r="R16" s="287">
        <f>'[5]Sheet1'!$D$9</f>
        <v>-85</v>
      </c>
      <c r="S16" s="208">
        <v>0</v>
      </c>
      <c r="T16" s="211">
        <f>S16+O16+K16</f>
        <v>25900</v>
      </c>
      <c r="U16" s="208">
        <f>T16+J16</f>
        <v>67044</v>
      </c>
      <c r="V16" s="295">
        <f>'[5]Sheet1'!$F$7-'[8]Sheet1'!$F$3</f>
        <v>-349.87358800000004</v>
      </c>
      <c r="W16" s="295">
        <f>'[5]Sheet1'!$G$7</f>
        <v>0</v>
      </c>
      <c r="X16" s="295">
        <f>'[5]Sheet1'!$H$7</f>
        <v>0</v>
      </c>
      <c r="Y16" s="208">
        <f>SUM(V16:X16)*-1</f>
        <v>349.87358800000004</v>
      </c>
      <c r="Z16" s="287">
        <f>'[5]Sheet1'!$F$8</f>
        <v>-1255.157515</v>
      </c>
      <c r="AA16" s="287">
        <f>'[5]Sheet1'!$G$8</f>
        <v>-164.56159799999998</v>
      </c>
      <c r="AB16" s="287">
        <f>'[5]Sheet1'!$H$8</f>
        <v>0</v>
      </c>
      <c r="AC16" s="208">
        <f>SUM(Z16:AB16)*-1</f>
        <v>1419.719113</v>
      </c>
      <c r="AD16" s="287">
        <f>'[5]Sheet1'!$F$9</f>
        <v>-221.871935</v>
      </c>
      <c r="AE16" s="287">
        <f>'[5]Sheet1'!$G$9</f>
        <v>0</v>
      </c>
      <c r="AF16" s="287">
        <f>'[5]Sheet1'!$H$9</f>
        <v>0</v>
      </c>
      <c r="AG16" s="208">
        <f>SUM(AD16:AF16)*-1</f>
        <v>221.871935</v>
      </c>
      <c r="AH16" s="211">
        <f>AG16+AC16+Y16</f>
        <v>1991.4646360000002</v>
      </c>
      <c r="AI16" s="208">
        <f>AH16+T16+I16+E16</f>
        <v>72411.361875</v>
      </c>
      <c r="BD16" s="342">
        <f>4149148653/1000000</f>
        <v>4149.148653</v>
      </c>
      <c r="BE16" s="342"/>
      <c r="BF16" s="342"/>
      <c r="BG16" s="342">
        <f t="shared" si="0"/>
        <v>26160.505892</v>
      </c>
    </row>
    <row r="17" spans="1:59" s="166" customFormat="1" ht="15">
      <c r="A17" s="178"/>
      <c r="B17" s="299"/>
      <c r="C17" s="300"/>
      <c r="D17" s="302"/>
      <c r="E17" s="301"/>
      <c r="F17" s="208"/>
      <c r="G17" s="208"/>
      <c r="H17" s="208"/>
      <c r="I17" s="208"/>
      <c r="J17" s="208"/>
      <c r="K17" s="208"/>
      <c r="L17" s="287"/>
      <c r="M17" s="287"/>
      <c r="N17" s="287"/>
      <c r="O17" s="208"/>
      <c r="P17" s="287"/>
      <c r="Q17" s="287"/>
      <c r="R17" s="287"/>
      <c r="S17" s="208"/>
      <c r="T17" s="211"/>
      <c r="U17" s="208"/>
      <c r="Y17" s="208"/>
      <c r="Z17" s="287"/>
      <c r="AA17" s="287"/>
      <c r="AB17" s="287"/>
      <c r="AC17" s="208"/>
      <c r="AD17" s="287"/>
      <c r="AE17" s="287"/>
      <c r="AF17" s="287"/>
      <c r="AG17" s="208"/>
      <c r="AH17" s="211"/>
      <c r="AI17" s="208"/>
      <c r="BD17" s="342"/>
      <c r="BE17" s="342"/>
      <c r="BF17" s="342"/>
      <c r="BG17" s="342">
        <f t="shared" si="0"/>
        <v>0</v>
      </c>
    </row>
    <row r="18" spans="1:59" s="166" customFormat="1" ht="15">
      <c r="A18" s="178" t="s">
        <v>24</v>
      </c>
      <c r="B18" s="299">
        <f>38290830978/1000000</f>
        <v>38290.830978</v>
      </c>
      <c r="C18" s="299">
        <f>39998535602.3/1000000</f>
        <v>39998.535602300006</v>
      </c>
      <c r="D18" s="299">
        <v>0</v>
      </c>
      <c r="E18" s="301">
        <f>B18+C18+D18</f>
        <v>78289.3665803</v>
      </c>
      <c r="F18" s="208">
        <v>9882.02</v>
      </c>
      <c r="G18" s="208">
        <v>10242.32</v>
      </c>
      <c r="H18" s="208">
        <v>28.56</v>
      </c>
      <c r="I18" s="208">
        <f>F18+G18+H18</f>
        <v>20152.9</v>
      </c>
      <c r="J18" s="208">
        <v>35024</v>
      </c>
      <c r="K18" s="208">
        <v>9603</v>
      </c>
      <c r="L18" s="287">
        <f>'[5]Sheet1'!$B$12</f>
        <v>-6418.76939348</v>
      </c>
      <c r="M18" s="287">
        <f>'[5]Sheet1'!$C$12</f>
        <v>-13477.138495650002</v>
      </c>
      <c r="N18" s="287">
        <f>'[5]Sheet1'!$D$12</f>
        <v>-36408.60425417001</v>
      </c>
      <c r="O18" s="208">
        <v>9670</v>
      </c>
      <c r="P18" s="287">
        <f>'[5]Sheet1'!$B$13</f>
        <v>-3224.781096</v>
      </c>
      <c r="Q18" s="287">
        <f>'[5]Sheet1'!$C$13</f>
        <v>-5145.09812627</v>
      </c>
      <c r="R18" s="287">
        <f>'[5]Sheet1'!$D$13</f>
        <v>-33530.7380561</v>
      </c>
      <c r="S18" s="208">
        <v>169</v>
      </c>
      <c r="T18" s="211">
        <f>S18+O18+K18</f>
        <v>19442</v>
      </c>
      <c r="U18" s="208">
        <f>T18+J18</f>
        <v>54466</v>
      </c>
      <c r="V18" s="295">
        <f>'[5]Sheet1'!$F$11</f>
        <v>-12653.181978999999</v>
      </c>
      <c r="W18" s="295">
        <f>'[5]Sheet1'!$G$11</f>
        <v>-88.6</v>
      </c>
      <c r="X18" s="295">
        <f>'[5]Sheet1'!$H$11</f>
        <v>0</v>
      </c>
      <c r="Y18" s="208">
        <f>SUM(V18:X18)*-1</f>
        <v>12741.781979</v>
      </c>
      <c r="Z18" s="287">
        <f>'[5]Sheet1'!$F$12</f>
        <v>-17008.60681741</v>
      </c>
      <c r="AA18" s="287">
        <f>'[5]Sheet1'!$G$12</f>
        <v>-1403.442922</v>
      </c>
      <c r="AB18" s="287">
        <f>'[5]Sheet1'!$H$12</f>
        <v>0</v>
      </c>
      <c r="AC18" s="208">
        <f>SUM(Z18:AB18)*-1</f>
        <v>18412.04973941</v>
      </c>
      <c r="AD18" s="287">
        <f>'[5]Sheet1'!$F$13</f>
        <v>-9334.29522</v>
      </c>
      <c r="AE18" s="287">
        <f>'[5]Sheet1'!$G$13</f>
        <v>-25</v>
      </c>
      <c r="AF18" s="287">
        <f>'[5]Sheet1'!$H$13</f>
        <v>0</v>
      </c>
      <c r="AG18" s="208">
        <f>SUM(AD18:AF18)*-1</f>
        <v>9359.29522</v>
      </c>
      <c r="AH18" s="211">
        <f>AG18+AC18+Y18</f>
        <v>40513.12693841</v>
      </c>
      <c r="AI18" s="208">
        <f>AH18+T18+I18+E18</f>
        <v>158397.39351871</v>
      </c>
      <c r="BD18" s="342">
        <f>15471232670/1000000</f>
        <v>15471.23267</v>
      </c>
      <c r="BE18" s="342">
        <f>2665500000/1000000</f>
        <v>2665.5</v>
      </c>
      <c r="BF18" s="342"/>
      <c r="BG18" s="342">
        <f t="shared" si="0"/>
        <v>96426.0992503</v>
      </c>
    </row>
    <row r="19" spans="1:59" s="166" customFormat="1" ht="15">
      <c r="A19" s="178"/>
      <c r="B19" s="299"/>
      <c r="C19" s="300"/>
      <c r="D19" s="302"/>
      <c r="E19" s="301"/>
      <c r="F19" s="208"/>
      <c r="G19" s="208"/>
      <c r="H19" s="208"/>
      <c r="I19" s="208"/>
      <c r="J19" s="208"/>
      <c r="K19" s="208"/>
      <c r="L19" s="287"/>
      <c r="M19" s="287"/>
      <c r="N19" s="287"/>
      <c r="O19" s="208"/>
      <c r="P19" s="287"/>
      <c r="Q19" s="287"/>
      <c r="R19" s="287"/>
      <c r="S19" s="208"/>
      <c r="T19" s="211"/>
      <c r="U19" s="208"/>
      <c r="Y19" s="208"/>
      <c r="Z19" s="287"/>
      <c r="AA19" s="287"/>
      <c r="AB19" s="287"/>
      <c r="AC19" s="208"/>
      <c r="AD19" s="287"/>
      <c r="AE19" s="287"/>
      <c r="AF19" s="287"/>
      <c r="AG19" s="208"/>
      <c r="AH19" s="211"/>
      <c r="AI19" s="208"/>
      <c r="BD19" s="342"/>
      <c r="BE19" s="342"/>
      <c r="BF19" s="342"/>
      <c r="BG19" s="342">
        <f t="shared" si="0"/>
        <v>0</v>
      </c>
    </row>
    <row r="20" spans="1:59" s="166" customFormat="1" ht="16.5">
      <c r="A20" s="178" t="s">
        <v>25</v>
      </c>
      <c r="B20" s="304">
        <f>274914227/1000000</f>
        <v>274.914227</v>
      </c>
      <c r="C20" s="300">
        <f>2061463750/1000000</f>
        <v>2061.46375</v>
      </c>
      <c r="D20" s="300">
        <v>0</v>
      </c>
      <c r="E20" s="301">
        <f>B20+C20+D20</f>
        <v>2336.377977</v>
      </c>
      <c r="F20" s="208">
        <v>148.42</v>
      </c>
      <c r="G20" s="208">
        <v>266.89</v>
      </c>
      <c r="H20" s="208">
        <f>H19</f>
        <v>0</v>
      </c>
      <c r="I20" s="208">
        <f>F20+G20+H20</f>
        <v>415.30999999999995</v>
      </c>
      <c r="J20" s="208">
        <f>I20+E20</f>
        <v>2751.687977</v>
      </c>
      <c r="K20" s="208">
        <v>134</v>
      </c>
      <c r="L20" s="287" t="e">
        <f>'[5]Sheet1'!$B$28+'[6]Sheet1'!$B$12</f>
        <v>#REF!</v>
      </c>
      <c r="M20" s="287" t="e">
        <f>'[5]Sheet1'!$C$28+'[6]Sheet1'!$C$12</f>
        <v>#REF!</v>
      </c>
      <c r="N20" s="287" t="e">
        <f>'[5]Sheet1'!$D$28+'[6]Sheet1'!$D$12</f>
        <v>#REF!</v>
      </c>
      <c r="O20" s="208">
        <v>418</v>
      </c>
      <c r="P20" s="287">
        <v>0</v>
      </c>
      <c r="Q20" s="287">
        <v>0</v>
      </c>
      <c r="R20" s="287">
        <v>0</v>
      </c>
      <c r="S20" s="208">
        <v>0</v>
      </c>
      <c r="T20" s="211">
        <f>S20+O20+K20</f>
        <v>552</v>
      </c>
      <c r="U20" s="208">
        <f>T20+J20</f>
        <v>3303.687977</v>
      </c>
      <c r="V20" s="295" t="e">
        <f>'[5]Sheet1'!$F$27</f>
        <v>#REF!</v>
      </c>
      <c r="W20" s="295" t="e">
        <f>'[5]Sheet1'!$G$27</f>
        <v>#REF!</v>
      </c>
      <c r="X20" s="295" t="e">
        <f>'[5]Sheet1'!$H$27</f>
        <v>#REF!</v>
      </c>
      <c r="Y20" s="208" t="e">
        <f>SUM(V20:X20)*-1</f>
        <v>#REF!</v>
      </c>
      <c r="Z20" s="287" t="e">
        <f>'[5]Sheet1'!$F$28+'[6]Sheet1'!$F$12</f>
        <v>#REF!</v>
      </c>
      <c r="AA20" s="287" t="e">
        <f>'[5]Sheet1'!$G$28+'[6]Sheet1'!$G$12</f>
        <v>#REF!</v>
      </c>
      <c r="AB20" s="287" t="e">
        <f>'[5]Sheet1'!$H$28+'[6]Sheet1'!$H$12</f>
        <v>#REF!</v>
      </c>
      <c r="AC20" s="208" t="e">
        <f>SUM(Z20:AB20)*-1</f>
        <v>#REF!</v>
      </c>
      <c r="AD20" s="287">
        <v>0</v>
      </c>
      <c r="AE20" s="287">
        <v>0</v>
      </c>
      <c r="AF20" s="287">
        <v>0</v>
      </c>
      <c r="AG20" s="208">
        <f>SUM(AD20:AF20)*-1</f>
        <v>0</v>
      </c>
      <c r="AH20" s="211" t="e">
        <f>AG20+AC20+Y20</f>
        <v>#REF!</v>
      </c>
      <c r="AI20" s="208" t="e">
        <f>AH20+T20+I20+E20</f>
        <v>#REF!</v>
      </c>
      <c r="BD20" s="342">
        <f>104357272/1000000</f>
        <v>104.357272</v>
      </c>
      <c r="BE20" s="342"/>
      <c r="BF20" s="342"/>
      <c r="BG20" s="342">
        <f t="shared" si="0"/>
        <v>2440.7352490000003</v>
      </c>
    </row>
    <row r="21" spans="1:59" s="166" customFormat="1" ht="15">
      <c r="A21" s="178"/>
      <c r="B21" s="299"/>
      <c r="C21" s="300"/>
      <c r="D21" s="300"/>
      <c r="E21" s="301"/>
      <c r="F21" s="208"/>
      <c r="G21" s="208"/>
      <c r="H21" s="208"/>
      <c r="I21" s="208"/>
      <c r="J21" s="208"/>
      <c r="K21" s="208"/>
      <c r="L21" s="287"/>
      <c r="M21" s="287"/>
      <c r="N21" s="287"/>
      <c r="O21" s="208"/>
      <c r="P21" s="287"/>
      <c r="Q21" s="287"/>
      <c r="R21" s="287"/>
      <c r="S21" s="208"/>
      <c r="T21" s="211"/>
      <c r="U21" s="208"/>
      <c r="Y21" s="208"/>
      <c r="Z21" s="287"/>
      <c r="AA21" s="287"/>
      <c r="AB21" s="287"/>
      <c r="AC21" s="208"/>
      <c r="AD21" s="287"/>
      <c r="AE21" s="287"/>
      <c r="AF21" s="287"/>
      <c r="AG21" s="208"/>
      <c r="AH21" s="211"/>
      <c r="AI21" s="208"/>
      <c r="BD21" s="342"/>
      <c r="BE21" s="342"/>
      <c r="BF21" s="342"/>
      <c r="BG21" s="342">
        <f t="shared" si="0"/>
        <v>0</v>
      </c>
    </row>
    <row r="22" spans="1:59" s="166" customFormat="1" ht="16.5">
      <c r="A22" s="178" t="s">
        <v>106</v>
      </c>
      <c r="B22" s="304">
        <f>741029647/1000000</f>
        <v>741.029647</v>
      </c>
      <c r="C22" s="300">
        <f>63158130/1000000</f>
        <v>63.15813</v>
      </c>
      <c r="D22" s="300">
        <f>85695120026.02/1000000</f>
        <v>85695.12002602</v>
      </c>
      <c r="E22" s="301">
        <f>B22+C22+D22</f>
        <v>86499.30780302</v>
      </c>
      <c r="F22" s="208"/>
      <c r="G22" s="208"/>
      <c r="H22" s="208"/>
      <c r="I22" s="208"/>
      <c r="J22" s="208">
        <f>I22+E22</f>
        <v>86499.30780302</v>
      </c>
      <c r="K22" s="208"/>
      <c r="L22" s="287">
        <v>0</v>
      </c>
      <c r="M22" s="287">
        <v>0</v>
      </c>
      <c r="N22" s="287">
        <v>0</v>
      </c>
      <c r="O22" s="208"/>
      <c r="P22" s="287">
        <v>0</v>
      </c>
      <c r="Q22" s="287">
        <v>0</v>
      </c>
      <c r="R22" s="287">
        <v>0</v>
      </c>
      <c r="S22" s="208"/>
      <c r="T22" s="211"/>
      <c r="U22" s="208"/>
      <c r="Y22" s="208">
        <f>SUM(V22:X22)*-1</f>
        <v>0</v>
      </c>
      <c r="Z22" s="287">
        <v>0</v>
      </c>
      <c r="AA22" s="287">
        <v>0</v>
      </c>
      <c r="AB22" s="287">
        <v>0</v>
      </c>
      <c r="AC22" s="208">
        <f>SUM(Z22:AB22)*-1</f>
        <v>0</v>
      </c>
      <c r="AD22" s="287">
        <v>0</v>
      </c>
      <c r="AE22" s="287">
        <v>0</v>
      </c>
      <c r="AF22" s="287">
        <v>0</v>
      </c>
      <c r="AG22" s="208">
        <f>SUM(AD22:AF22)*-1</f>
        <v>0</v>
      </c>
      <c r="AH22" s="211">
        <f>AG22+AC22+Y22</f>
        <v>0</v>
      </c>
      <c r="AI22" s="208"/>
      <c r="BD22" s="342">
        <f>762057669/1000000</f>
        <v>762.057669</v>
      </c>
      <c r="BE22" s="342"/>
      <c r="BF22" s="342">
        <f>4246964908/1000000</f>
        <v>4246.964908</v>
      </c>
      <c r="BG22" s="342">
        <f t="shared" si="0"/>
        <v>91508.33038002</v>
      </c>
    </row>
    <row r="23" spans="1:59" s="166" customFormat="1" ht="15">
      <c r="A23" s="178"/>
      <c r="B23" s="300"/>
      <c r="C23" s="300"/>
      <c r="D23" s="300"/>
      <c r="E23" s="301"/>
      <c r="F23" s="208"/>
      <c r="G23" s="208"/>
      <c r="H23" s="208"/>
      <c r="I23" s="208"/>
      <c r="J23" s="208"/>
      <c r="K23" s="208"/>
      <c r="L23" s="287"/>
      <c r="M23" s="287"/>
      <c r="N23" s="287"/>
      <c r="O23" s="208"/>
      <c r="P23" s="287"/>
      <c r="Q23" s="287"/>
      <c r="R23" s="287"/>
      <c r="S23" s="208"/>
      <c r="T23" s="211"/>
      <c r="U23" s="208"/>
      <c r="Y23" s="208"/>
      <c r="Z23" s="287"/>
      <c r="AA23" s="287"/>
      <c r="AB23" s="287"/>
      <c r="AC23" s="208"/>
      <c r="AD23" s="287"/>
      <c r="AE23" s="287"/>
      <c r="AF23" s="287"/>
      <c r="AG23" s="208"/>
      <c r="AH23" s="211"/>
      <c r="AI23" s="208"/>
      <c r="BD23" s="342"/>
      <c r="BE23" s="342"/>
      <c r="BF23" s="342"/>
      <c r="BG23" s="342">
        <f t="shared" si="0"/>
        <v>0</v>
      </c>
    </row>
    <row r="24" spans="1:59" s="166" customFormat="1" ht="15">
      <c r="A24" s="178" t="s">
        <v>26</v>
      </c>
      <c r="B24" s="300"/>
      <c r="C24" s="300"/>
      <c r="D24" s="300">
        <v>0</v>
      </c>
      <c r="E24" s="301">
        <f>B24+C24+D24</f>
        <v>0</v>
      </c>
      <c r="F24" s="208"/>
      <c r="G24" s="208"/>
      <c r="H24" s="208"/>
      <c r="I24" s="208"/>
      <c r="J24" s="208">
        <f>I24+E24</f>
        <v>0</v>
      </c>
      <c r="K24" s="208"/>
      <c r="L24" s="287">
        <v>0</v>
      </c>
      <c r="M24" s="287">
        <v>0</v>
      </c>
      <c r="N24" s="287">
        <v>0</v>
      </c>
      <c r="O24" s="208"/>
      <c r="P24" s="287">
        <v>0</v>
      </c>
      <c r="Q24" s="287">
        <v>0</v>
      </c>
      <c r="R24" s="287">
        <v>0</v>
      </c>
      <c r="S24" s="208"/>
      <c r="T24" s="211"/>
      <c r="U24" s="208"/>
      <c r="Y24" s="208">
        <f>SUM(V24:X24)*-1</f>
        <v>0</v>
      </c>
      <c r="Z24" s="287">
        <v>0</v>
      </c>
      <c r="AA24" s="287">
        <v>0</v>
      </c>
      <c r="AB24" s="287">
        <v>0</v>
      </c>
      <c r="AC24" s="208">
        <f>SUM(Z24:AB24)*-1</f>
        <v>0</v>
      </c>
      <c r="AD24" s="287">
        <v>0</v>
      </c>
      <c r="AE24" s="287">
        <v>0</v>
      </c>
      <c r="AF24" s="287">
        <v>0</v>
      </c>
      <c r="AG24" s="208">
        <f>SUM(AD24:AF24)*-1</f>
        <v>0</v>
      </c>
      <c r="AH24" s="211">
        <f>AG24+AC24+Y24</f>
        <v>0</v>
      </c>
      <c r="AI24" s="208"/>
      <c r="BD24" s="342"/>
      <c r="BE24" s="342"/>
      <c r="BF24" s="342"/>
      <c r="BG24" s="342">
        <f t="shared" si="0"/>
        <v>0</v>
      </c>
    </row>
    <row r="25" spans="1:59" s="166" customFormat="1" ht="15">
      <c r="A25" s="178"/>
      <c r="B25" s="299"/>
      <c r="C25" s="300"/>
      <c r="D25" s="302"/>
      <c r="E25" s="301"/>
      <c r="F25" s="208"/>
      <c r="G25" s="208"/>
      <c r="H25" s="208"/>
      <c r="I25" s="208"/>
      <c r="J25" s="208"/>
      <c r="K25" s="208"/>
      <c r="L25" s="287"/>
      <c r="M25" s="287"/>
      <c r="N25" s="287"/>
      <c r="O25" s="208"/>
      <c r="P25" s="287"/>
      <c r="Q25" s="287"/>
      <c r="R25" s="287"/>
      <c r="S25" s="208"/>
      <c r="T25" s="211"/>
      <c r="U25" s="208"/>
      <c r="Y25" s="208"/>
      <c r="Z25" s="287"/>
      <c r="AA25" s="287"/>
      <c r="AB25" s="287"/>
      <c r="AC25" s="208"/>
      <c r="AD25" s="287"/>
      <c r="AE25" s="287"/>
      <c r="AF25" s="287"/>
      <c r="AG25" s="208"/>
      <c r="AH25" s="211"/>
      <c r="AI25" s="208"/>
      <c r="BD25" s="342"/>
      <c r="BE25" s="342"/>
      <c r="BF25" s="342"/>
      <c r="BG25" s="342">
        <f t="shared" si="0"/>
        <v>0</v>
      </c>
    </row>
    <row r="26" spans="1:59" s="166" customFormat="1" ht="16.5">
      <c r="A26" s="178" t="s">
        <v>180</v>
      </c>
      <c r="B26" s="304">
        <f>54472626636.32/1000000</f>
        <v>54472.62663632</v>
      </c>
      <c r="C26" s="299">
        <f>51818895009/1000000</f>
        <v>51818.895009</v>
      </c>
      <c r="D26" s="300">
        <f>39110231751/1000000</f>
        <v>39110.231751</v>
      </c>
      <c r="E26" s="301">
        <f>B26+C26+D26</f>
        <v>145401.75339631998</v>
      </c>
      <c r="F26" s="208">
        <v>5669.77</v>
      </c>
      <c r="G26" s="208">
        <v>42819.78</v>
      </c>
      <c r="H26" s="208">
        <v>8574.31</v>
      </c>
      <c r="I26" s="208">
        <f>F26+G26+H26</f>
        <v>57063.86</v>
      </c>
      <c r="J26" s="208">
        <v>124464</v>
      </c>
      <c r="K26" s="208">
        <v>5025</v>
      </c>
      <c r="L26" s="287">
        <f>'[5]Sheet1'!$B$16+'[6]Sheet1'!$B$6</f>
        <v>-4520.8801</v>
      </c>
      <c r="M26" s="287">
        <f>'[5]Sheet1'!$C$16+'[6]Sheet1'!$C$6</f>
        <v>-4898.783</v>
      </c>
      <c r="N26" s="287">
        <f>'[5]Sheet1'!$D$16+'[6]Sheet1'!$D$6</f>
        <v>-7135.70106225</v>
      </c>
      <c r="O26" s="208">
        <v>65959</v>
      </c>
      <c r="P26" s="287">
        <f>'[5]Sheet1'!$B$17+'[6]Sheet1'!$B$6</f>
        <v>0</v>
      </c>
      <c r="Q26" s="287">
        <f>'[5]Sheet1'!$C$17+'[6]Sheet1'!$C$6</f>
        <v>-2735.5823210000003</v>
      </c>
      <c r="R26" s="287">
        <f>'[5]Sheet1'!$D$17+'[6]Sheet1'!$D$6</f>
        <v>-36</v>
      </c>
      <c r="S26" s="208">
        <v>33240</v>
      </c>
      <c r="T26" s="211">
        <f>S26+O26+K26</f>
        <v>104224</v>
      </c>
      <c r="U26" s="208">
        <f>T26+J26</f>
        <v>228688</v>
      </c>
      <c r="V26" s="295">
        <f>'[5]Sheet1'!$F$15</f>
        <v>-142.572765</v>
      </c>
      <c r="W26" s="295">
        <f>'[5]Sheet1'!$G$15</f>
        <v>0</v>
      </c>
      <c r="X26" s="295">
        <f>'[5]Sheet1'!$H$15</f>
        <v>0</v>
      </c>
      <c r="Y26" s="208">
        <f>SUM(V26:X26)*-1</f>
        <v>142.572765</v>
      </c>
      <c r="Z26" s="287">
        <f>'[5]Sheet1'!$F$16</f>
        <v>-517.2289999999999</v>
      </c>
      <c r="AA26" s="287">
        <f>'[5]Sheet1'!$G$16</f>
        <v>-28.99</v>
      </c>
      <c r="AB26" s="287">
        <f>'[5]Sheet1'!$H$16</f>
        <v>0</v>
      </c>
      <c r="AC26" s="208">
        <f>SUM(Z26:AB26)*-1</f>
        <v>546.2189999999999</v>
      </c>
      <c r="AD26" s="287">
        <f>'[5]Sheet1'!$F$17+'[6]Sheet1'!$F$6</f>
        <v>-240</v>
      </c>
      <c r="AE26" s="287">
        <f>'[5]Sheet1'!$G$17+'[6]Sheet1'!$G$6</f>
        <v>0</v>
      </c>
      <c r="AF26" s="287">
        <f>'[5]Sheet1'!$H$17+'[6]Sheet1'!$H$6</f>
        <v>0</v>
      </c>
      <c r="AG26" s="208">
        <f>SUM(AD26:AF26)*-1</f>
        <v>240</v>
      </c>
      <c r="AH26" s="211">
        <f>AG26+AC26+Y26</f>
        <v>928.7917649999999</v>
      </c>
      <c r="AI26" s="208">
        <f>AH26+T26+I26+E26</f>
        <v>307618.40516132</v>
      </c>
      <c r="BD26" s="342">
        <f>15622166907/1000000</f>
        <v>15622.166907</v>
      </c>
      <c r="BE26" s="342">
        <f>2802904729.8/1000000</f>
        <v>2802.9047298</v>
      </c>
      <c r="BF26" s="342">
        <f>499999979.31/1000000</f>
        <v>499.99997931</v>
      </c>
      <c r="BG26" s="342">
        <f t="shared" si="0"/>
        <v>164326.82501243</v>
      </c>
    </row>
    <row r="27" spans="1:59" s="166" customFormat="1" ht="15">
      <c r="A27" s="178"/>
      <c r="B27" s="299"/>
      <c r="C27" s="300"/>
      <c r="D27" s="302"/>
      <c r="E27" s="301"/>
      <c r="F27" s="208"/>
      <c r="G27" s="208"/>
      <c r="H27" s="208"/>
      <c r="I27" s="208"/>
      <c r="J27" s="208"/>
      <c r="K27" s="208"/>
      <c r="L27" s="287"/>
      <c r="M27" s="287"/>
      <c r="N27" s="287"/>
      <c r="O27" s="208"/>
      <c r="P27" s="287"/>
      <c r="Q27" s="287"/>
      <c r="R27" s="287"/>
      <c r="S27" s="208"/>
      <c r="T27" s="211"/>
      <c r="U27" s="208"/>
      <c r="Y27" s="208"/>
      <c r="Z27" s="287"/>
      <c r="AA27" s="287"/>
      <c r="AB27" s="287"/>
      <c r="AC27" s="208"/>
      <c r="AD27" s="287"/>
      <c r="AE27" s="287"/>
      <c r="AF27" s="287"/>
      <c r="AG27" s="208"/>
      <c r="AH27" s="211"/>
      <c r="AI27" s="208"/>
      <c r="BD27" s="342"/>
      <c r="BE27" s="342"/>
      <c r="BF27" s="342"/>
      <c r="BG27" s="342">
        <f t="shared" si="0"/>
        <v>0</v>
      </c>
    </row>
    <row r="28" spans="1:59" s="166" customFormat="1" ht="15">
      <c r="A28" s="173" t="s">
        <v>30</v>
      </c>
      <c r="B28" s="299">
        <f>(94984116222.29+106210656947.38)/1000000</f>
        <v>201194.77316967</v>
      </c>
      <c r="C28" s="299">
        <f>(261636693794.59+47238036016.81-34603034870.92)/1000000</f>
        <v>274271.69494048005</v>
      </c>
      <c r="D28" s="299">
        <f>(6629132411+6373223484)/1000000</f>
        <v>13002.355895</v>
      </c>
      <c r="E28" s="301">
        <f>B28+C28+D28</f>
        <v>488468.82400515006</v>
      </c>
      <c r="F28" s="208">
        <f>23547.89+6</f>
        <v>23553.89</v>
      </c>
      <c r="G28" s="208">
        <v>25223.68</v>
      </c>
      <c r="H28" s="208">
        <v>3141.16</v>
      </c>
      <c r="I28" s="208">
        <f>F28+G28+H28</f>
        <v>51918.729999999996</v>
      </c>
      <c r="J28" s="208">
        <v>120605</v>
      </c>
      <c r="K28" s="208">
        <v>23964</v>
      </c>
      <c r="L28" s="287">
        <f>'[5]Sheet1'!$B$4+'[6]Sheet1'!$B$4</f>
        <v>-4946.6895196899995</v>
      </c>
      <c r="M28" s="287">
        <f>'[5]Sheet1'!$C$4+'[6]Sheet1'!$C$4</f>
        <v>-2647.39034011</v>
      </c>
      <c r="N28" s="287">
        <f>'[5]Sheet1'!$D$4+'[6]Sheet1'!$D$4</f>
        <v>-15467.3738424</v>
      </c>
      <c r="O28" s="208">
        <v>32289</v>
      </c>
      <c r="P28" s="287">
        <f>'[5]Sheet1'!$B$5</f>
        <v>0</v>
      </c>
      <c r="Q28" s="287">
        <f>'[5]Sheet1'!$C$5</f>
        <v>-3965.1523100000004</v>
      </c>
      <c r="R28" s="287">
        <f>'[5]Sheet1'!$D$5</f>
        <v>-1081.482</v>
      </c>
      <c r="S28" s="208">
        <v>6521</v>
      </c>
      <c r="T28" s="211">
        <f>S28+O28+K28</f>
        <v>62774</v>
      </c>
      <c r="U28" s="208">
        <f>T28+J28</f>
        <v>183379</v>
      </c>
      <c r="V28" s="295">
        <f>'[5]Sheet1'!$F$3+'[6]Sheet1'!$F$3+'[8]Sheet1'!$F$3</f>
        <v>-21429.798043739997</v>
      </c>
      <c r="W28" s="295">
        <f>'[5]Sheet1'!$G$3+'[6]Sheet1'!$G$3+'[8]Sheet1'!$G$3</f>
        <v>-424.820159</v>
      </c>
      <c r="X28" s="295">
        <f>'[5]Sheet1'!$H$3+'[6]Sheet1'!$H$3+'[8]Sheet1'!$H$3</f>
        <v>0</v>
      </c>
      <c r="Y28" s="208">
        <f>SUM(V28:X28)*-1</f>
        <v>21854.618202739995</v>
      </c>
      <c r="Z28" s="287">
        <f>'[5]Sheet1'!$F$4+'[6]Sheet1'!$F$4</f>
        <v>-12379.16849006</v>
      </c>
      <c r="AA28" s="287">
        <f>'[5]Sheet1'!$G$4+'[6]Sheet1'!$G$4</f>
        <v>-198.646679</v>
      </c>
      <c r="AB28" s="287">
        <f>'[5]Sheet1'!$H$4+'[6]Sheet1'!$H$4</f>
        <v>0</v>
      </c>
      <c r="AC28" s="208">
        <f>SUM(Z28:AB28)*-1</f>
        <v>12577.815169059999</v>
      </c>
      <c r="AD28" s="287">
        <f>'[5]Sheet1'!$F$5</f>
        <v>-1032.083451</v>
      </c>
      <c r="AE28" s="287">
        <f>'[5]Sheet1'!$G$5</f>
        <v>0</v>
      </c>
      <c r="AF28" s="287">
        <f>'[5]Sheet1'!$H$5</f>
        <v>0</v>
      </c>
      <c r="AG28" s="208">
        <f>SUM(AD28:AF28)*-1</f>
        <v>1032.083451</v>
      </c>
      <c r="AH28" s="211">
        <f>AG28+AC28+Y28</f>
        <v>35464.5168228</v>
      </c>
      <c r="AI28" s="208">
        <f>AH28+T28+I28+E28</f>
        <v>638626.07082795</v>
      </c>
      <c r="BD28" s="343">
        <f>(27297382699+29154186038.14)/1000000</f>
        <v>56451.56873714</v>
      </c>
      <c r="BE28" s="343">
        <f>(40871951889.44+36524804526.55-14322164970.83)/1000000</f>
        <v>63074.591445160004</v>
      </c>
      <c r="BF28" s="343">
        <f>(1000000000+284616376)/1000000</f>
        <v>1284.616376</v>
      </c>
      <c r="BG28" s="343">
        <f t="shared" si="0"/>
        <v>609279.60056345</v>
      </c>
    </row>
    <row r="29" spans="1:59" ht="15" hidden="1">
      <c r="A29" s="245"/>
      <c r="B29" s="244"/>
      <c r="C29" s="242"/>
      <c r="D29" s="193"/>
      <c r="E29" s="191"/>
      <c r="F29" s="269"/>
      <c r="G29" s="269"/>
      <c r="H29" s="12"/>
      <c r="I29" s="12"/>
      <c r="J29" s="12"/>
      <c r="K29" s="115"/>
      <c r="O29" s="44"/>
      <c r="P29" s="65"/>
      <c r="S29" s="44"/>
      <c r="T29" s="146"/>
      <c r="U29" s="18"/>
      <c r="V29" s="25"/>
      <c r="W29" s="25"/>
      <c r="X29" s="25"/>
      <c r="Y29" s="115"/>
      <c r="Z29" s="7"/>
      <c r="AA29" s="7"/>
      <c r="AB29" s="7"/>
      <c r="AC29" s="44"/>
      <c r="AD29" s="3"/>
      <c r="AE29" s="3"/>
      <c r="AF29" s="3"/>
      <c r="AG29" s="3"/>
      <c r="AH29" s="146"/>
      <c r="AI29" s="261"/>
      <c r="BG29" s="287">
        <f t="shared" si="0"/>
        <v>0</v>
      </c>
    </row>
    <row r="30" spans="1:59" ht="15" hidden="1">
      <c r="A30" s="187" t="s">
        <v>31</v>
      </c>
      <c r="B30" s="244"/>
      <c r="C30" s="267"/>
      <c r="D30" s="192"/>
      <c r="E30" s="191">
        <f>B30+C30+D30</f>
        <v>0</v>
      </c>
      <c r="F30" s="115"/>
      <c r="G30" s="116"/>
      <c r="H30" s="134"/>
      <c r="I30" s="117">
        <f>H30+G30+F30</f>
        <v>0</v>
      </c>
      <c r="J30" s="117"/>
      <c r="K30" s="115"/>
      <c r="O30" s="116"/>
      <c r="P30" s="65"/>
      <c r="S30" s="115"/>
      <c r="T30" s="160"/>
      <c r="U30" s="117"/>
      <c r="V30" s="117"/>
      <c r="W30" s="117"/>
      <c r="X30" s="117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BG30" s="287">
        <f t="shared" si="0"/>
        <v>0</v>
      </c>
    </row>
    <row r="31" spans="1:59" ht="15" hidden="1">
      <c r="A31" s="245"/>
      <c r="B31" s="244"/>
      <c r="C31" s="267"/>
      <c r="D31" s="192"/>
      <c r="E31" s="191"/>
      <c r="F31" s="115"/>
      <c r="G31" s="44"/>
      <c r="H31" s="25"/>
      <c r="I31" s="12"/>
      <c r="J31" s="12"/>
      <c r="K31" s="118"/>
      <c r="O31" s="46"/>
      <c r="P31" s="65"/>
      <c r="S31" s="46"/>
      <c r="T31" s="147"/>
      <c r="U31" s="12"/>
      <c r="V31" s="18"/>
      <c r="W31" s="18"/>
      <c r="X31" s="18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BG31" s="287">
        <f t="shared" si="0"/>
        <v>0</v>
      </c>
    </row>
    <row r="32" spans="1:59" ht="27" customHeight="1" thickBot="1">
      <c r="A32" s="246" t="s">
        <v>32</v>
      </c>
      <c r="B32" s="248">
        <f>B10+B12+B14+B16+B18+B20+B26+B28+B22+B24</f>
        <v>461001.42251599</v>
      </c>
      <c r="C32" s="247">
        <f>C10+C12+C14+C16+C18+C20+C26+C28+C22+C24</f>
        <v>419634.68100578006</v>
      </c>
      <c r="D32" s="247">
        <f>D10+D12+D14+D16+D18+D20+D26+D28+D22+D24</f>
        <v>155483.28123102</v>
      </c>
      <c r="E32" s="246">
        <f aca="true" t="shared" si="1" ref="E32:Y32">SUM(E10:E31)</f>
        <v>1036119.38475279</v>
      </c>
      <c r="F32" s="246">
        <f t="shared" si="1"/>
        <v>108894.22</v>
      </c>
      <c r="G32" s="246">
        <f t="shared" si="1"/>
        <v>106264.37</v>
      </c>
      <c r="H32" s="246">
        <f t="shared" si="1"/>
        <v>13708.029999999999</v>
      </c>
      <c r="I32" s="246">
        <f>SUM(I10:I31)</f>
        <v>228866.62</v>
      </c>
      <c r="J32" s="246">
        <f t="shared" si="1"/>
        <v>614106.78644002</v>
      </c>
      <c r="K32" s="246">
        <f t="shared" si="1"/>
        <v>102856</v>
      </c>
      <c r="L32" s="246" t="e">
        <f t="shared" si="1"/>
        <v>#REF!</v>
      </c>
      <c r="M32" s="246" t="e">
        <f t="shared" si="1"/>
        <v>#REF!</v>
      </c>
      <c r="N32" s="246" t="e">
        <f t="shared" si="1"/>
        <v>#REF!</v>
      </c>
      <c r="O32" s="246">
        <f t="shared" si="1"/>
        <v>152594</v>
      </c>
      <c r="P32" s="246" t="e">
        <f t="shared" si="1"/>
        <v>#REF!</v>
      </c>
      <c r="Q32" s="246" t="e">
        <f t="shared" si="1"/>
        <v>#REF!</v>
      </c>
      <c r="R32" s="246" t="e">
        <f t="shared" si="1"/>
        <v>#REF!</v>
      </c>
      <c r="S32" s="246">
        <f t="shared" si="1"/>
        <v>40525</v>
      </c>
      <c r="T32" s="246">
        <f t="shared" si="1"/>
        <v>295975</v>
      </c>
      <c r="U32" s="246">
        <f t="shared" si="1"/>
        <v>823582.4786370001</v>
      </c>
      <c r="V32" s="66"/>
      <c r="W32" s="66"/>
      <c r="X32" s="66"/>
      <c r="Y32" s="66" t="e">
        <f t="shared" si="1"/>
        <v>#REF!</v>
      </c>
      <c r="Z32" s="66" t="e">
        <f>SUM(Z10:Z31)</f>
        <v>#REF!</v>
      </c>
      <c r="AA32" s="66" t="e">
        <f>SUM(AA10:AA31)</f>
        <v>#REF!</v>
      </c>
      <c r="AB32" s="66" t="e">
        <f>SUM(AB10:AB31)</f>
        <v>#REF!</v>
      </c>
      <c r="AC32" s="66" t="e">
        <f>SUM(AC10:AC28)</f>
        <v>#REF!</v>
      </c>
      <c r="AD32" s="66"/>
      <c r="AE32" s="66"/>
      <c r="AF32" s="66"/>
      <c r="AG32" s="66" t="e">
        <f>SUM(AG10:AG31)</f>
        <v>#REF!</v>
      </c>
      <c r="AH32" s="66" t="e">
        <f>SUM(AH10:AH31)</f>
        <v>#REF!</v>
      </c>
      <c r="AI32" s="80" t="e">
        <f>SUM(AI10:AI31)</f>
        <v>#REF!</v>
      </c>
      <c r="BD32" s="246">
        <f>SUM(BD10:BD31)</f>
        <v>143979.47735014</v>
      </c>
      <c r="BE32" s="246">
        <f>SUM(BE10:BE31)</f>
        <v>105139.26852196001</v>
      </c>
      <c r="BF32" s="246">
        <f>SUM(BF10:BF31)</f>
        <v>6031.5812633099995</v>
      </c>
      <c r="BG32" s="341">
        <f t="shared" si="0"/>
        <v>1291269.7118882</v>
      </c>
    </row>
    <row r="33" spans="1:35" s="122" customFormat="1" ht="13.5" hidden="1" thickTop="1">
      <c r="A33" s="121"/>
      <c r="B33" s="121">
        <f>report!G41</f>
        <v>459908.7164549901</v>
      </c>
      <c r="C33" s="121">
        <f>report!G42</f>
        <v>304887.48787773</v>
      </c>
      <c r="D33" s="121">
        <f>report!G47</f>
        <v>155483.28123102002</v>
      </c>
      <c r="E33" s="121">
        <f>report!G48</f>
        <v>920279.48556374</v>
      </c>
      <c r="F33" s="121" t="e">
        <f>report!#REF!</f>
        <v>#REF!</v>
      </c>
      <c r="G33" s="121" t="e">
        <f>report!#REF!</f>
        <v>#REF!</v>
      </c>
      <c r="H33" s="121" t="e">
        <f>report!#REF!</f>
        <v>#REF!</v>
      </c>
      <c r="I33" s="5" t="e">
        <f>report!#REF!+report!#REF!+report!#REF!</f>
        <v>#REF!</v>
      </c>
      <c r="J33" s="121" t="e">
        <f>report!#REF!</f>
        <v>#REF!</v>
      </c>
      <c r="K33" s="121" t="e">
        <f>report!#REF!</f>
        <v>#REF!</v>
      </c>
      <c r="L33" s="65" t="e">
        <f>report!#REF!</f>
        <v>#REF!</v>
      </c>
      <c r="M33" s="65" t="e">
        <f>report!#REF!</f>
        <v>#REF!</v>
      </c>
      <c r="N33" s="65" t="e">
        <f>report!#REF!</f>
        <v>#REF!</v>
      </c>
      <c r="O33" s="121" t="e">
        <f>report!#REF!</f>
        <v>#REF!</v>
      </c>
      <c r="P33" s="65" t="e">
        <f>report!#REF!</f>
        <v>#REF!</v>
      </c>
      <c r="Q33" s="65" t="e">
        <f>report!#REF!</f>
        <v>#REF!</v>
      </c>
      <c r="R33" s="65" t="e">
        <f>report!#REF!</f>
        <v>#REF!</v>
      </c>
      <c r="S33" s="121" t="e">
        <f>report!#REF!</f>
        <v>#REF!</v>
      </c>
      <c r="T33" s="5" t="e">
        <f>report!#REF!+report!#REF!+report!#REF!</f>
        <v>#REF!</v>
      </c>
      <c r="U33" s="121" t="e">
        <f>report!#REF!</f>
        <v>#REF!</v>
      </c>
      <c r="V33" s="121"/>
      <c r="W33" s="121"/>
      <c r="X33" s="121"/>
      <c r="Y33" s="122" t="e">
        <f>report!#REF!</f>
        <v>#REF!</v>
      </c>
      <c r="AC33" s="122" t="e">
        <f>report!#REF!</f>
        <v>#REF!</v>
      </c>
      <c r="AG33" s="122" t="e">
        <f>report!#REF!</f>
        <v>#REF!</v>
      </c>
      <c r="AH33" s="122" t="e">
        <f>report!#REF!</f>
        <v>#REF!</v>
      </c>
      <c r="AI33" s="122" t="e">
        <f>report!#REF!</f>
        <v>#REF!</v>
      </c>
    </row>
    <row r="34" spans="1:33" ht="13.5" hidden="1" thickTop="1">
      <c r="A34" s="1"/>
      <c r="B34" s="122">
        <f>B33-B32</f>
        <v>-1092.706060999888</v>
      </c>
      <c r="C34" s="122">
        <f>C33-C32</f>
        <v>-114747.19312805007</v>
      </c>
      <c r="D34" s="5">
        <f aca="true" t="shared" si="2" ref="D34:J34">D32-D33</f>
        <v>0</v>
      </c>
      <c r="E34" s="5">
        <f t="shared" si="2"/>
        <v>115839.89918904996</v>
      </c>
      <c r="F34" s="5" t="e">
        <f t="shared" si="2"/>
        <v>#REF!</v>
      </c>
      <c r="G34" s="5" t="e">
        <f t="shared" si="2"/>
        <v>#REF!</v>
      </c>
      <c r="H34" s="5" t="e">
        <f t="shared" si="2"/>
        <v>#REF!</v>
      </c>
      <c r="I34" s="5" t="e">
        <f t="shared" si="2"/>
        <v>#REF!</v>
      </c>
      <c r="J34" s="5" t="e">
        <f t="shared" si="2"/>
        <v>#REF!</v>
      </c>
      <c r="K34" s="51" t="e">
        <f aca="true" t="shared" si="3" ref="K34:Q34">K32+K33</f>
        <v>#REF!</v>
      </c>
      <c r="L34" s="123" t="e">
        <f t="shared" si="3"/>
        <v>#REF!</v>
      </c>
      <c r="M34" s="123" t="e">
        <f t="shared" si="3"/>
        <v>#REF!</v>
      </c>
      <c r="N34" s="123" t="e">
        <f t="shared" si="3"/>
        <v>#REF!</v>
      </c>
      <c r="O34" s="5" t="e">
        <f t="shared" si="3"/>
        <v>#REF!</v>
      </c>
      <c r="P34" s="123" t="e">
        <f t="shared" si="3"/>
        <v>#REF!</v>
      </c>
      <c r="Q34" s="123" t="e">
        <f t="shared" si="3"/>
        <v>#REF!</v>
      </c>
      <c r="R34" s="123" t="e">
        <f>R33+R32</f>
        <v>#REF!</v>
      </c>
      <c r="S34" s="5" t="e">
        <f>S32-S33</f>
        <v>#REF!</v>
      </c>
      <c r="T34" s="5" t="e">
        <f>T33+T32</f>
        <v>#REF!</v>
      </c>
      <c r="U34" s="5" t="e">
        <f>U33-U32</f>
        <v>#REF!</v>
      </c>
      <c r="V34" s="5"/>
      <c r="W34" s="5"/>
      <c r="X34" s="5"/>
      <c r="Y34" s="5" t="e">
        <f>Y33-Y32</f>
        <v>#REF!</v>
      </c>
      <c r="Z34" s="5"/>
      <c r="AA34" s="5"/>
      <c r="AB34" s="5"/>
      <c r="AC34" s="5" t="e">
        <f>AC33-AC32</f>
        <v>#REF!</v>
      </c>
      <c r="AD34" s="5"/>
      <c r="AE34" s="5"/>
      <c r="AF34" s="5"/>
      <c r="AG34" s="5" t="e">
        <f>AG33-AG32</f>
        <v>#REF!</v>
      </c>
    </row>
    <row r="35" spans="4:9" ht="13.5" hidden="1" thickTop="1">
      <c r="D35" s="51">
        <f>report!G48</f>
        <v>920279.48556374</v>
      </c>
      <c r="I35" s="5">
        <f>I32+E32</f>
        <v>1264986.00475279</v>
      </c>
    </row>
    <row r="36" spans="3:4" ht="13.5" hidden="1" thickTop="1">
      <c r="C36" s="122" t="s">
        <v>34</v>
      </c>
      <c r="D36" s="5">
        <f>D35-D34</f>
        <v>920279.48556374</v>
      </c>
    </row>
    <row r="37" ht="13.5" hidden="1" thickTop="1"/>
    <row r="38" ht="13.5" hidden="1" thickTop="1">
      <c r="A38" s="1" t="s">
        <v>5</v>
      </c>
    </row>
    <row r="39" ht="12" customHeight="1" hidden="1">
      <c r="A39" t="s">
        <v>7</v>
      </c>
    </row>
    <row r="40" ht="13.5" hidden="1" thickTop="1">
      <c r="A40" t="s">
        <v>8</v>
      </c>
    </row>
    <row r="41" ht="13.5" hidden="1" thickTop="1">
      <c r="A41" t="s">
        <v>13</v>
      </c>
    </row>
    <row r="42" ht="13.5" hidden="1" thickTop="1">
      <c r="A42" t="s">
        <v>16</v>
      </c>
    </row>
    <row r="43" ht="13.5" hidden="1" thickTop="1">
      <c r="A43" t="s">
        <v>19</v>
      </c>
    </row>
    <row r="44" ht="13.5" hidden="1" thickTop="1">
      <c r="A44" t="s">
        <v>21</v>
      </c>
    </row>
    <row r="45" ht="13.5" hidden="1" thickTop="1"/>
    <row r="46" ht="13.5" hidden="1" thickTop="1">
      <c r="A46" t="s">
        <v>23</v>
      </c>
    </row>
    <row r="47" ht="13.5" hidden="1" thickTop="1">
      <c r="A47" t="s">
        <v>8</v>
      </c>
    </row>
    <row r="48" ht="13.5" hidden="1" thickTop="1">
      <c r="A48" t="s">
        <v>13</v>
      </c>
    </row>
    <row r="49" ht="13.5" hidden="1" thickTop="1">
      <c r="A49" t="s">
        <v>16</v>
      </c>
    </row>
    <row r="50" ht="13.5" hidden="1" thickTop="1">
      <c r="A50" t="s">
        <v>19</v>
      </c>
    </row>
    <row r="51" ht="13.5" hidden="1" thickTop="1">
      <c r="A51" t="s">
        <v>21</v>
      </c>
    </row>
    <row r="52" ht="12" customHeight="1" hidden="1"/>
    <row r="53" ht="13.5" hidden="1" thickTop="1">
      <c r="A53" s="1" t="s">
        <v>27</v>
      </c>
    </row>
    <row r="54" ht="13.5" hidden="1" thickTop="1"/>
    <row r="55" ht="13.5" hidden="1" thickTop="1">
      <c r="A55" t="s">
        <v>29</v>
      </c>
    </row>
    <row r="56" ht="13.5" hidden="1" thickTop="1">
      <c r="A56" t="s">
        <v>8</v>
      </c>
    </row>
    <row r="57" ht="13.5" hidden="1" thickTop="1">
      <c r="A57" t="s">
        <v>13</v>
      </c>
    </row>
    <row r="58" ht="13.5" hidden="1" thickTop="1">
      <c r="A58" t="s">
        <v>16</v>
      </c>
    </row>
    <row r="59" ht="13.5" hidden="1" thickTop="1">
      <c r="A59" t="s">
        <v>19</v>
      </c>
    </row>
    <row r="60" ht="13.5" hidden="1" thickTop="1">
      <c r="A60" t="s">
        <v>21</v>
      </c>
    </row>
    <row r="61" ht="13.5" hidden="1" thickTop="1"/>
    <row r="62" ht="13.5" hidden="1" thickTop="1">
      <c r="A62" t="s">
        <v>33</v>
      </c>
    </row>
    <row r="63" ht="13.5" hidden="1" thickTop="1">
      <c r="A63" t="s">
        <v>8</v>
      </c>
    </row>
    <row r="64" ht="13.5" hidden="1" thickTop="1">
      <c r="A64" t="s">
        <v>13</v>
      </c>
    </row>
    <row r="65" ht="2.25" customHeight="1" hidden="1">
      <c r="A65" t="s">
        <v>16</v>
      </c>
    </row>
    <row r="66" ht="13.5" hidden="1" thickTop="1">
      <c r="A66" t="s">
        <v>19</v>
      </c>
    </row>
    <row r="67" ht="13.5" hidden="1" thickTop="1">
      <c r="A67" t="s">
        <v>21</v>
      </c>
    </row>
    <row r="68" ht="13.5" hidden="1" thickTop="1"/>
    <row r="69" ht="13.5" hidden="1" thickTop="1">
      <c r="A69" t="s">
        <v>35</v>
      </c>
    </row>
    <row r="70" ht="13.5" hidden="1" thickTop="1">
      <c r="A70" t="s">
        <v>8</v>
      </c>
    </row>
    <row r="71" ht="13.5" hidden="1" thickTop="1">
      <c r="A71" t="s">
        <v>13</v>
      </c>
    </row>
    <row r="72" ht="13.5" hidden="1" thickTop="1">
      <c r="A72" t="s">
        <v>16</v>
      </c>
    </row>
    <row r="73" ht="13.5" hidden="1" thickTop="1">
      <c r="A73" t="s">
        <v>19</v>
      </c>
    </row>
    <row r="74" ht="13.5" hidden="1" thickTop="1">
      <c r="A74" t="s">
        <v>21</v>
      </c>
    </row>
    <row r="75" ht="13.5" hidden="1" thickTop="1"/>
    <row r="76" ht="13.5" hidden="1" thickTop="1">
      <c r="A76" s="1" t="s">
        <v>36</v>
      </c>
    </row>
    <row r="77" ht="13.5" hidden="1" thickTop="1"/>
    <row r="78" ht="13.5" hidden="1" thickTop="1">
      <c r="A78" s="1" t="s">
        <v>37</v>
      </c>
    </row>
    <row r="79" spans="1:35" ht="2.25" customHeight="1" hidden="1" thickTop="1">
      <c r="A79" s="5"/>
      <c r="C79" s="122">
        <f aca="true" t="shared" si="4" ref="C79:I79">C33-C32</f>
        <v>-114747.19312805007</v>
      </c>
      <c r="D79" s="5">
        <f t="shared" si="4"/>
        <v>0</v>
      </c>
      <c r="E79" s="5">
        <f t="shared" si="4"/>
        <v>-115839.89918904996</v>
      </c>
      <c r="F79" s="5" t="e">
        <f t="shared" si="4"/>
        <v>#REF!</v>
      </c>
      <c r="G79" s="5" t="e">
        <f t="shared" si="4"/>
        <v>#REF!</v>
      </c>
      <c r="H79" s="5" t="e">
        <f t="shared" si="4"/>
        <v>#REF!</v>
      </c>
      <c r="I79" s="5" t="e">
        <f t="shared" si="4"/>
        <v>#REF!</v>
      </c>
      <c r="J79" s="5" t="e">
        <f>J33-J32</f>
        <v>#REF!</v>
      </c>
      <c r="K79" s="5" t="e">
        <f aca="true" t="shared" si="5" ref="K79:AI79">K33-K32</f>
        <v>#REF!</v>
      </c>
      <c r="L79" s="5" t="e">
        <f t="shared" si="5"/>
        <v>#REF!</v>
      </c>
      <c r="M79" s="5" t="e">
        <f t="shared" si="5"/>
        <v>#REF!</v>
      </c>
      <c r="N79" s="5" t="e">
        <f t="shared" si="5"/>
        <v>#REF!</v>
      </c>
      <c r="O79" s="5" t="e">
        <f t="shared" si="5"/>
        <v>#REF!</v>
      </c>
      <c r="P79" s="5" t="e">
        <f t="shared" si="5"/>
        <v>#REF!</v>
      </c>
      <c r="Q79" s="5" t="e">
        <f t="shared" si="5"/>
        <v>#REF!</v>
      </c>
      <c r="R79" s="5" t="e">
        <f t="shared" si="5"/>
        <v>#REF!</v>
      </c>
      <c r="S79" s="5" t="e">
        <f t="shared" si="5"/>
        <v>#REF!</v>
      </c>
      <c r="T79" s="5" t="e">
        <f t="shared" si="5"/>
        <v>#REF!</v>
      </c>
      <c r="U79" s="5" t="e">
        <f t="shared" si="5"/>
        <v>#REF!</v>
      </c>
      <c r="V79" s="5"/>
      <c r="W79" s="5"/>
      <c r="X79" s="5"/>
      <c r="Y79" s="5" t="e">
        <f t="shared" si="5"/>
        <v>#REF!</v>
      </c>
      <c r="Z79" s="5"/>
      <c r="AA79" s="5"/>
      <c r="AB79" s="5"/>
      <c r="AC79" s="5" t="e">
        <f t="shared" si="5"/>
        <v>#REF!</v>
      </c>
      <c r="AD79" s="5"/>
      <c r="AE79" s="5"/>
      <c r="AF79" s="5"/>
      <c r="AG79" s="5" t="e">
        <f t="shared" si="5"/>
        <v>#REF!</v>
      </c>
      <c r="AH79" s="5" t="e">
        <f t="shared" si="5"/>
        <v>#REF!</v>
      </c>
      <c r="AI79" s="5" t="e">
        <f t="shared" si="5"/>
        <v>#REF!</v>
      </c>
    </row>
    <row r="80" spans="3:19" ht="15.75" thickTop="1">
      <c r="C80" s="283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ht="15">
      <c r="C81" s="283"/>
    </row>
    <row r="82" spans="1:9" ht="18">
      <c r="A82" s="249" t="s">
        <v>146</v>
      </c>
      <c r="E82" s="5"/>
      <c r="I82" s="5"/>
    </row>
    <row r="83" spans="37:43" ht="18">
      <c r="AK83" s="249"/>
      <c r="AL83" s="249"/>
      <c r="AM83" s="249"/>
      <c r="AN83" s="249"/>
      <c r="AP83" s="249"/>
      <c r="AQ83" s="249"/>
    </row>
    <row r="84" spans="1:35" ht="18">
      <c r="A84" s="257" t="s">
        <v>170</v>
      </c>
      <c r="B84" s="268"/>
      <c r="D84" s="277"/>
      <c r="I84" s="250"/>
      <c r="J84" s="257"/>
      <c r="K84" s="257" t="s">
        <v>172</v>
      </c>
      <c r="L84" s="249"/>
      <c r="M84" s="249"/>
      <c r="N84" s="249"/>
      <c r="P84" s="249"/>
      <c r="Q84" s="249"/>
      <c r="R84" s="249"/>
      <c r="S84" s="344"/>
      <c r="T84" s="344"/>
      <c r="U84" s="344"/>
      <c r="V84" s="258"/>
      <c r="W84" s="258"/>
      <c r="X84" s="258"/>
      <c r="Y84" s="249"/>
      <c r="Z84" s="249"/>
      <c r="AA84" s="249"/>
      <c r="AB84" s="249"/>
      <c r="AC84" s="250"/>
      <c r="AD84" s="250"/>
      <c r="AE84" s="250"/>
      <c r="AF84" s="250"/>
      <c r="AG84" s="249"/>
      <c r="AH84" s="249"/>
      <c r="AI84" s="250"/>
    </row>
    <row r="85" spans="1:35" ht="18">
      <c r="A85" s="257" t="s">
        <v>174</v>
      </c>
      <c r="B85" s="268"/>
      <c r="D85" s="257"/>
      <c r="I85" s="250"/>
      <c r="J85" s="257"/>
      <c r="K85" s="257" t="s">
        <v>149</v>
      </c>
      <c r="L85" s="249"/>
      <c r="M85" s="249"/>
      <c r="N85" s="249"/>
      <c r="P85" s="249"/>
      <c r="Q85" s="249"/>
      <c r="R85" s="249"/>
      <c r="S85" s="344"/>
      <c r="T85" s="344"/>
      <c r="U85" s="344"/>
      <c r="V85" s="258"/>
      <c r="W85" s="258"/>
      <c r="X85" s="258"/>
      <c r="Y85" s="249"/>
      <c r="Z85" s="249"/>
      <c r="AA85" s="249"/>
      <c r="AB85" s="249"/>
      <c r="AC85" s="250"/>
      <c r="AD85" s="250"/>
      <c r="AE85" s="250"/>
      <c r="AF85" s="250"/>
      <c r="AG85" s="249"/>
      <c r="AH85" s="249"/>
      <c r="AI85" s="250"/>
    </row>
  </sheetData>
  <sheetProtection password="F4C8" sheet="1" formatCells="0" formatColumns="0" formatRows="0" insertColumns="0" insertRows="0" insertHyperlinks="0" deleteColumns="0" deleteRows="0" sort="0" autoFilter="0" pivotTables="0"/>
  <mergeCells count="4">
    <mergeCell ref="S85:U85"/>
    <mergeCell ref="S84:U84"/>
    <mergeCell ref="BD4:BF4"/>
    <mergeCell ref="BD3:BF3"/>
  </mergeCells>
  <printOptions horizontalCentered="1" verticalCentered="1"/>
  <pageMargins left="0.748031496062992" right="0.748031496062992" top="0.984251968503937" bottom="0.984251968503937" header="0.511811023622047" footer="0.511811023622047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GS133"/>
  <sheetViews>
    <sheetView zoomScale="75" zoomScaleNormal="75" zoomScalePageLayoutView="0" workbookViewId="0" topLeftCell="A38">
      <pane xSplit="1" topLeftCell="B1" activePane="topRight" state="frozen"/>
      <selection pane="topLeft" activeCell="A17" sqref="A17"/>
      <selection pane="topRight" activeCell="A46" sqref="A46"/>
    </sheetView>
  </sheetViews>
  <sheetFormatPr defaultColWidth="9.140625" defaultRowHeight="12.75"/>
  <cols>
    <col min="1" max="1" width="54.7109375" style="89" customWidth="1"/>
    <col min="2" max="2" width="15.28125" style="0" customWidth="1"/>
    <col min="3" max="3" width="14.8515625" style="0" hidden="1" customWidth="1"/>
    <col min="4" max="4" width="18.00390625" style="0" hidden="1" customWidth="1"/>
    <col min="5" max="5" width="11.421875" style="0" hidden="1" customWidth="1"/>
    <col min="6" max="6" width="17.8515625" style="0" hidden="1" customWidth="1"/>
    <col min="7" max="7" width="18.8515625" style="48" customWidth="1"/>
    <col min="8" max="8" width="25.7109375" style="0" customWidth="1"/>
    <col min="9" max="9" width="25.28125" style="0" customWidth="1"/>
  </cols>
  <sheetData>
    <row r="1" ht="21.75" customHeight="1">
      <c r="A1" s="271" t="s">
        <v>144</v>
      </c>
    </row>
    <row r="3" spans="1:9" ht="75.75" customHeight="1">
      <c r="A3" s="347" t="s">
        <v>190</v>
      </c>
      <c r="B3" s="347"/>
      <c r="C3" s="347"/>
      <c r="D3" s="347"/>
      <c r="E3" s="347"/>
      <c r="F3" s="347"/>
      <c r="G3" s="347"/>
      <c r="H3" s="347"/>
      <c r="I3" s="347"/>
    </row>
    <row r="4" spans="1:7" ht="18.75" customHeight="1">
      <c r="A4" s="291"/>
      <c r="B4" s="292"/>
      <c r="C4" s="292"/>
      <c r="D4" s="292"/>
      <c r="E4" s="292"/>
      <c r="F4" s="292"/>
      <c r="G4" s="292"/>
    </row>
    <row r="5" spans="1:7" ht="22.5" customHeight="1">
      <c r="A5" s="348" t="s">
        <v>151</v>
      </c>
      <c r="B5" s="348"/>
      <c r="C5" s="348"/>
      <c r="D5" s="348"/>
      <c r="E5" s="348"/>
      <c r="F5" s="348"/>
      <c r="G5" s="348"/>
    </row>
    <row r="6" spans="1:7" ht="24" customHeight="1">
      <c r="A6" s="349" t="s">
        <v>191</v>
      </c>
      <c r="B6" s="349"/>
      <c r="C6" s="166"/>
      <c r="D6" s="166"/>
      <c r="E6" s="166"/>
      <c r="F6" s="166"/>
      <c r="G6" s="271"/>
    </row>
    <row r="7" spans="1:7" ht="15" customHeight="1">
      <c r="A7" s="168"/>
      <c r="B7" s="169"/>
      <c r="C7" s="169"/>
      <c r="D7" s="169"/>
      <c r="E7" s="169"/>
      <c r="F7" s="169"/>
      <c r="G7" s="170"/>
    </row>
    <row r="8" spans="1:9" ht="56.25" customHeight="1">
      <c r="A8" s="171"/>
      <c r="B8" s="172" t="s">
        <v>145</v>
      </c>
      <c r="C8" s="306"/>
      <c r="D8" s="307"/>
      <c r="E8" s="307"/>
      <c r="F8" s="307" t="s">
        <v>185</v>
      </c>
      <c r="G8" s="350" t="s">
        <v>188</v>
      </c>
      <c r="H8" s="351"/>
      <c r="I8" s="352"/>
    </row>
    <row r="9" spans="1:9" ht="51" customHeight="1">
      <c r="A9" s="173"/>
      <c r="B9" s="174" t="s">
        <v>183</v>
      </c>
      <c r="C9" s="175">
        <v>42370</v>
      </c>
      <c r="D9" s="176">
        <v>42401</v>
      </c>
      <c r="E9" s="176">
        <v>40238</v>
      </c>
      <c r="F9" s="176">
        <v>42430</v>
      </c>
      <c r="G9" s="177" t="s">
        <v>184</v>
      </c>
      <c r="H9" s="310" t="s">
        <v>187</v>
      </c>
      <c r="I9" s="309" t="s">
        <v>189</v>
      </c>
    </row>
    <row r="10" spans="1:13" s="68" customFormat="1" ht="15.75" customHeight="1">
      <c r="A10" s="178"/>
      <c r="B10" s="273" t="s">
        <v>41</v>
      </c>
      <c r="C10" s="180" t="s">
        <v>41</v>
      </c>
      <c r="D10" s="179" t="s">
        <v>41</v>
      </c>
      <c r="E10" s="179" t="s">
        <v>41</v>
      </c>
      <c r="F10" s="179"/>
      <c r="G10" s="181" t="s">
        <v>41</v>
      </c>
      <c r="H10" s="273" t="s">
        <v>41</v>
      </c>
      <c r="I10" s="273" t="s">
        <v>41</v>
      </c>
      <c r="J10" s="179"/>
      <c r="K10" s="179"/>
      <c r="L10" s="179"/>
      <c r="M10" s="179"/>
    </row>
    <row r="11" spans="1:9" ht="15.75" customHeight="1">
      <c r="A11" s="182"/>
      <c r="B11" s="183"/>
      <c r="C11" s="185"/>
      <c r="D11" s="184"/>
      <c r="E11" s="184"/>
      <c r="F11" s="184"/>
      <c r="G11" s="186"/>
      <c r="H11" s="83"/>
      <c r="I11" s="83"/>
    </row>
    <row r="12" spans="1:9" ht="15.75" customHeight="1">
      <c r="A12" s="178"/>
      <c r="B12" s="183"/>
      <c r="C12" s="185"/>
      <c r="D12" s="184"/>
      <c r="E12" s="184"/>
      <c r="F12" s="184"/>
      <c r="G12" s="186"/>
      <c r="H12" s="83"/>
      <c r="I12" s="83"/>
    </row>
    <row r="13" spans="1:9" ht="15.75" customHeight="1">
      <c r="A13" s="182" t="s">
        <v>42</v>
      </c>
      <c r="B13" s="178"/>
      <c r="C13" s="289"/>
      <c r="D13" s="168"/>
      <c r="E13" s="168"/>
      <c r="F13" s="168"/>
      <c r="G13" s="290"/>
      <c r="H13" s="83"/>
      <c r="I13" s="83"/>
    </row>
    <row r="14" spans="1:9" ht="15.75" customHeight="1">
      <c r="A14" s="190" t="s">
        <v>43</v>
      </c>
      <c r="B14" s="208">
        <v>920523</v>
      </c>
      <c r="C14" s="208">
        <f>'[13]Sheet1'!$B$3</f>
        <v>79697.93444983002</v>
      </c>
      <c r="D14" s="209">
        <f>'[15]Sheet1'!$C$3</f>
        <v>67100.43222767001</v>
      </c>
      <c r="E14" s="209">
        <f>'[2]Sheet1'!$D$3</f>
        <v>22798.711182550007</v>
      </c>
      <c r="F14" s="209">
        <f>'[17]Sheet1'!$D$3</f>
        <v>76679.13673535999</v>
      </c>
      <c r="G14" s="194">
        <f aca="true" t="shared" si="0" ref="G14:G20">C14+D14+F14</f>
        <v>223477.50341286</v>
      </c>
      <c r="H14" s="320">
        <f>'[18]Sheet1'!$F$3</f>
        <v>85656.49846196001</v>
      </c>
      <c r="I14" s="322">
        <f>G14+H14</f>
        <v>309134.00187482004</v>
      </c>
    </row>
    <row r="15" spans="1:9" ht="15.75" customHeight="1">
      <c r="A15" s="190" t="s">
        <v>44</v>
      </c>
      <c r="B15" s="208">
        <v>694568</v>
      </c>
      <c r="C15" s="208">
        <f>'[13]Sheet1'!$B$4</f>
        <v>38248.19090413</v>
      </c>
      <c r="D15" s="209">
        <f>'[15]Sheet1'!$C$4</f>
        <v>39205.56804616</v>
      </c>
      <c r="E15" s="209">
        <f>'[2]Sheet1'!$D$4</f>
        <v>30030.59213064001</v>
      </c>
      <c r="F15" s="209">
        <f>'[17]Sheet1'!$D$4</f>
        <v>44028.899183600006</v>
      </c>
      <c r="G15" s="194">
        <f t="shared" si="0"/>
        <v>121482.65813389001</v>
      </c>
      <c r="H15" s="320">
        <f>'[18]Sheet1'!$F$4</f>
        <v>38329.910985810006</v>
      </c>
      <c r="I15" s="322">
        <f aca="true" t="shared" si="1" ref="I15:I20">G15+H15</f>
        <v>159812.56911970003</v>
      </c>
    </row>
    <row r="16" spans="1:9" ht="15.75" customHeight="1">
      <c r="A16" s="190" t="s">
        <v>176</v>
      </c>
      <c r="B16" s="208">
        <v>634980</v>
      </c>
      <c r="C16" s="208">
        <f>'[13]Sheet1'!$B$5</f>
        <v>54607.537163930014</v>
      </c>
      <c r="D16" s="209">
        <f>'[15]Sheet1'!$C$5</f>
        <v>53825.107856440016</v>
      </c>
      <c r="E16" s="209">
        <f>'[2]Sheet1'!$D$5</f>
        <v>16986.97667844</v>
      </c>
      <c r="F16" s="209">
        <f>'[17]Sheet1'!$D$5</f>
        <v>53184.24740503001</v>
      </c>
      <c r="G16" s="194">
        <f t="shared" si="0"/>
        <v>161616.89242540003</v>
      </c>
      <c r="H16" s="320">
        <f>'[18]Sheet1'!$F$5</f>
        <v>55279.414782809996</v>
      </c>
      <c r="I16" s="322">
        <f t="shared" si="1"/>
        <v>216896.30720821003</v>
      </c>
    </row>
    <row r="17" spans="1:9" ht="15.75" customHeight="1">
      <c r="A17" s="190" t="s">
        <v>45</v>
      </c>
      <c r="B17" s="208">
        <v>76433</v>
      </c>
      <c r="C17" s="208">
        <f>'[18]Sheet1'!$B$6</f>
        <v>5050.7276584</v>
      </c>
      <c r="D17" s="209">
        <f>'[18]Sheet1'!$C$6</f>
        <v>2804.7246252299997</v>
      </c>
      <c r="E17" s="209">
        <f>'[2]Sheet1'!$D$6</f>
        <v>1935.5132241599997</v>
      </c>
      <c r="F17" s="209">
        <f>'[18]Sheet1'!$D$6</f>
        <v>1091.36672634</v>
      </c>
      <c r="G17" s="194">
        <f t="shared" si="0"/>
        <v>8946.81900997</v>
      </c>
      <c r="H17" s="320">
        <f>'[18]Sheet1'!$F$6</f>
        <v>27418.55346159</v>
      </c>
      <c r="I17" s="322">
        <f t="shared" si="1"/>
        <v>36365.37247156</v>
      </c>
    </row>
    <row r="18" spans="1:9" ht="15.75" customHeight="1">
      <c r="A18" s="190" t="s">
        <v>46</v>
      </c>
      <c r="B18" s="208"/>
      <c r="C18" s="208">
        <f>'[13]Sheet1'!$B$7</f>
        <v>3203.0941602500006</v>
      </c>
      <c r="D18" s="209">
        <f>'[15]Sheet1'!$C$7</f>
        <v>4533.28743411</v>
      </c>
      <c r="E18" s="209">
        <f>'[2]Sheet1'!$D$7</f>
        <v>291.47641450000003</v>
      </c>
      <c r="F18" s="209">
        <f>'[17]Sheet1'!$D$7</f>
        <v>9244.483947319999</v>
      </c>
      <c r="G18" s="194">
        <f t="shared" si="0"/>
        <v>16980.86554168</v>
      </c>
      <c r="H18" s="320">
        <f>'[18]Sheet1'!$F$7</f>
        <v>1088.8321653</v>
      </c>
      <c r="I18" s="322">
        <f t="shared" si="1"/>
        <v>18069.697706979998</v>
      </c>
    </row>
    <row r="19" spans="1:9" ht="15.75" customHeight="1">
      <c r="A19" s="190" t="s">
        <v>47</v>
      </c>
      <c r="B19" s="208">
        <v>119332</v>
      </c>
      <c r="C19" s="194">
        <f>'[16]report'!$C$19</f>
        <v>6810.082305469999</v>
      </c>
      <c r="D19" s="209">
        <f>'[18]Sheet1'!$C$8</f>
        <v>20961.431786060006</v>
      </c>
      <c r="E19" s="209">
        <f>'[2]Sheet1'!$D$8</f>
        <v>11418.281986670005</v>
      </c>
      <c r="F19" s="209">
        <f>'[18]Sheet1'!$D$8</f>
        <v>9962.8036629</v>
      </c>
      <c r="G19" s="194">
        <f t="shared" si="0"/>
        <v>37734.317754430005</v>
      </c>
      <c r="H19" s="320">
        <f>'[18]Sheet1'!$F$8</f>
        <v>7572.243841930001</v>
      </c>
      <c r="I19" s="322">
        <f t="shared" si="1"/>
        <v>45306.56159636001</v>
      </c>
    </row>
    <row r="20" spans="1:9" ht="15.75" customHeight="1">
      <c r="A20" s="195" t="s">
        <v>150</v>
      </c>
      <c r="B20" s="275">
        <v>113503</v>
      </c>
      <c r="C20" s="275">
        <f>'[18]Sheet1'!$B$9</f>
        <v>10476.09468174</v>
      </c>
      <c r="D20" s="209">
        <f>'[18]Sheet1'!$C$9</f>
        <v>12492.692338030003</v>
      </c>
      <c r="E20" s="209">
        <f>'[2]Sheet1'!$D$9</f>
        <v>4756.951</v>
      </c>
      <c r="F20" s="209">
        <f>'[18]Sheet1'!$D$9</f>
        <v>27087.644022020002</v>
      </c>
      <c r="G20" s="194">
        <f t="shared" si="0"/>
        <v>50056.431041790005</v>
      </c>
      <c r="H20" s="321">
        <f>'[18]Sheet1'!$F$9</f>
        <v>12142.40343108</v>
      </c>
      <c r="I20" s="323">
        <f t="shared" si="1"/>
        <v>62198.83447287</v>
      </c>
    </row>
    <row r="21" spans="1:9" ht="15.75" customHeight="1">
      <c r="A21" s="197" t="s">
        <v>49</v>
      </c>
      <c r="B21" s="212">
        <f aca="true" t="shared" si="2" ref="B21:I21">SUM(B14:B20)</f>
        <v>2559339</v>
      </c>
      <c r="C21" s="199">
        <f t="shared" si="2"/>
        <v>198093.66132375004</v>
      </c>
      <c r="D21" s="198">
        <f t="shared" si="2"/>
        <v>200923.24431370007</v>
      </c>
      <c r="E21" s="198">
        <f t="shared" si="2"/>
        <v>88218.50261696</v>
      </c>
      <c r="F21" s="198">
        <f t="shared" si="2"/>
        <v>221278.58168257</v>
      </c>
      <c r="G21" s="213">
        <f t="shared" si="2"/>
        <v>620295.4873200201</v>
      </c>
      <c r="H21" s="213">
        <f t="shared" si="2"/>
        <v>227487.85713048</v>
      </c>
      <c r="I21" s="213">
        <f t="shared" si="2"/>
        <v>847783.3444505002</v>
      </c>
    </row>
    <row r="22" spans="1:9" ht="15.75" customHeight="1">
      <c r="A22" s="171"/>
      <c r="B22" s="216"/>
      <c r="C22" s="201"/>
      <c r="D22" s="200"/>
      <c r="E22" s="200"/>
      <c r="F22" s="200"/>
      <c r="G22" s="204"/>
      <c r="H22" s="156"/>
      <c r="I22" s="156"/>
    </row>
    <row r="23" spans="1:9" ht="15.75" customHeight="1">
      <c r="A23" s="202" t="s">
        <v>50</v>
      </c>
      <c r="B23" s="207"/>
      <c r="C23" s="201"/>
      <c r="D23" s="200"/>
      <c r="E23" s="200"/>
      <c r="F23" s="200"/>
      <c r="G23" s="204"/>
      <c r="H23" s="83"/>
      <c r="I23" s="83"/>
    </row>
    <row r="24" spans="1:9" ht="15.75" customHeight="1">
      <c r="A24" s="203" t="s">
        <v>51</v>
      </c>
      <c r="B24" s="208">
        <v>0</v>
      </c>
      <c r="C24" s="208">
        <f>'[18]Sheet1'!$B$11</f>
        <v>1085.75701978</v>
      </c>
      <c r="D24" s="209"/>
      <c r="E24" s="209">
        <f>'[2]Sheet1'!$D$11</f>
        <v>1369.1018791099998</v>
      </c>
      <c r="F24" s="209">
        <f>'[18]Sheet1'!$D$11</f>
        <v>1763.34097443</v>
      </c>
      <c r="G24" s="194">
        <f>C24+D24+F24</f>
        <v>2849.0979942100003</v>
      </c>
      <c r="H24" s="320">
        <f>'[18]Sheet1'!$F$11</f>
        <v>2089.0432234</v>
      </c>
      <c r="I24" s="322">
        <f>H24+G24</f>
        <v>4938.14121761</v>
      </c>
    </row>
    <row r="25" spans="1:9" ht="15.75" customHeight="1">
      <c r="A25" s="203" t="s">
        <v>181</v>
      </c>
      <c r="B25" s="208">
        <v>0</v>
      </c>
      <c r="C25" s="208">
        <v>0</v>
      </c>
      <c r="D25" s="209"/>
      <c r="E25" s="209"/>
      <c r="F25" s="209"/>
      <c r="G25" s="194">
        <f>C25+D25</f>
        <v>0</v>
      </c>
      <c r="H25" s="83"/>
      <c r="I25" s="83"/>
    </row>
    <row r="26" spans="1:9" ht="15">
      <c r="A26" s="203" t="s">
        <v>152</v>
      </c>
      <c r="B26" s="208">
        <v>418082</v>
      </c>
      <c r="C26" s="208">
        <f>'[15]Sheet1'!$B$10</f>
        <v>474.70025468</v>
      </c>
      <c r="D26" s="209">
        <f>'[12]Sheet1'!$C$11</f>
        <v>0</v>
      </c>
      <c r="E26" s="209">
        <f>'[2]Sheet1'!$D$12</f>
        <v>0</v>
      </c>
      <c r="F26" s="209">
        <f>'[17]Sheet1'!$D$10</f>
        <v>60000</v>
      </c>
      <c r="G26" s="194">
        <f>C26+D26+F26</f>
        <v>60474.70025468</v>
      </c>
      <c r="H26" s="83"/>
      <c r="I26" s="322">
        <f>H26+G26</f>
        <v>60474.70025468</v>
      </c>
    </row>
    <row r="27" spans="1:9" ht="15">
      <c r="A27" s="203" t="s">
        <v>179</v>
      </c>
      <c r="B27" s="211">
        <v>380000</v>
      </c>
      <c r="C27" s="208">
        <v>0</v>
      </c>
      <c r="D27" s="209">
        <f>'[2]Sheet1'!$C$13</f>
        <v>0</v>
      </c>
      <c r="E27" s="209">
        <f>'[2]Sheet1'!$C$13</f>
        <v>0</v>
      </c>
      <c r="F27" s="209"/>
      <c r="G27" s="194">
        <f>C27+D27</f>
        <v>0</v>
      </c>
      <c r="H27" s="83"/>
      <c r="I27" s="83"/>
    </row>
    <row r="28" spans="1:9" ht="15">
      <c r="A28" s="203" t="s">
        <v>153</v>
      </c>
      <c r="B28" s="208">
        <v>0</v>
      </c>
      <c r="C28" s="208">
        <v>0</v>
      </c>
      <c r="D28" s="209">
        <f>'[2]Sheet1'!$C$13</f>
        <v>0</v>
      </c>
      <c r="E28" s="209">
        <f>'[2]Sheet1'!$D$13</f>
        <v>64400</v>
      </c>
      <c r="F28" s="209"/>
      <c r="G28" s="194">
        <f>C28+D28</f>
        <v>0</v>
      </c>
      <c r="H28" s="83"/>
      <c r="I28" s="83"/>
    </row>
    <row r="29" spans="1:9" ht="15.75" customHeight="1">
      <c r="A29" s="274" t="s">
        <v>173</v>
      </c>
      <c r="B29" s="275">
        <v>0</v>
      </c>
      <c r="C29" s="275">
        <v>0</v>
      </c>
      <c r="D29" s="209">
        <f>'[2]Sheet1'!$C$13</f>
        <v>0</v>
      </c>
      <c r="E29" s="209">
        <f>'[2]Sheet1'!$D$14</f>
        <v>570</v>
      </c>
      <c r="F29" s="209"/>
      <c r="G29" s="194">
        <f>C29+D29</f>
        <v>0</v>
      </c>
      <c r="H29" s="157"/>
      <c r="I29" s="157"/>
    </row>
    <row r="30" spans="1:9" ht="15.75" customHeight="1">
      <c r="A30" s="197" t="s">
        <v>52</v>
      </c>
      <c r="B30" s="212">
        <f>SUM(B24:B28)</f>
        <v>798082</v>
      </c>
      <c r="C30" s="199">
        <f>SUM(C24:C28)</f>
        <v>1560.45727446</v>
      </c>
      <c r="D30" s="198">
        <f>SUM(D24:D28)</f>
        <v>0</v>
      </c>
      <c r="E30" s="198">
        <f>SUM(E24:E29)</f>
        <v>66339.10187911</v>
      </c>
      <c r="F30" s="199">
        <f>SUM(F24:F28)</f>
        <v>61763.34097443</v>
      </c>
      <c r="G30" s="213">
        <f>SUM(G24:G29)</f>
        <v>63323.79824889</v>
      </c>
      <c r="H30" s="213">
        <f>SUM(H24:H29)</f>
        <v>2089.0432234</v>
      </c>
      <c r="I30" s="316">
        <f>H30+G30</f>
        <v>65412.841472290005</v>
      </c>
    </row>
    <row r="31" spans="1:7" ht="15.75" customHeight="1">
      <c r="A31" s="197"/>
      <c r="B31" s="199"/>
      <c r="C31" s="198"/>
      <c r="D31" s="198"/>
      <c r="E31" s="198"/>
      <c r="F31" s="198"/>
      <c r="G31" s="213"/>
    </row>
    <row r="32" spans="1:9" s="1" customFormat="1" ht="15.75" customHeight="1">
      <c r="A32" s="205" t="s">
        <v>159</v>
      </c>
      <c r="B32" s="212">
        <f aca="true" t="shared" si="3" ref="B32:I32">B21+B30</f>
        <v>3357421</v>
      </c>
      <c r="C32" s="199">
        <f t="shared" si="3"/>
        <v>199654.11859821004</v>
      </c>
      <c r="D32" s="198">
        <f t="shared" si="3"/>
        <v>200923.24431370007</v>
      </c>
      <c r="E32" s="198">
        <f t="shared" si="3"/>
        <v>154557.60449607</v>
      </c>
      <c r="F32" s="198">
        <f t="shared" si="3"/>
        <v>283041.922657</v>
      </c>
      <c r="G32" s="213">
        <f t="shared" si="3"/>
        <v>683619.2855689101</v>
      </c>
      <c r="H32" s="213">
        <f t="shared" si="3"/>
        <v>229576.90035388</v>
      </c>
      <c r="I32" s="213">
        <f t="shared" si="3"/>
        <v>913196.1859227902</v>
      </c>
    </row>
    <row r="33" spans="1:7" s="1" customFormat="1" ht="15.75" customHeight="1">
      <c r="A33" s="206"/>
      <c r="B33" s="200"/>
      <c r="C33" s="200"/>
      <c r="D33" s="200"/>
      <c r="E33" s="200"/>
      <c r="F33" s="200"/>
      <c r="G33" s="200"/>
    </row>
    <row r="34" spans="1:7" s="1" customFormat="1" ht="15.75" customHeight="1">
      <c r="A34" s="348" t="s">
        <v>151</v>
      </c>
      <c r="B34" s="348"/>
      <c r="C34" s="348"/>
      <c r="D34" s="348"/>
      <c r="E34" s="348"/>
      <c r="F34" s="348"/>
      <c r="G34" s="348"/>
    </row>
    <row r="35" spans="1:7" s="1" customFormat="1" ht="19.5" customHeight="1">
      <c r="A35" s="349" t="s">
        <v>191</v>
      </c>
      <c r="B35" s="349"/>
      <c r="C35" s="166"/>
      <c r="D35" s="166"/>
      <c r="E35" s="166"/>
      <c r="F35" s="166"/>
      <c r="G35" s="271"/>
    </row>
    <row r="36" spans="1:9" s="1" customFormat="1" ht="69" customHeight="1">
      <c r="A36" s="171"/>
      <c r="B36" s="172" t="s">
        <v>145</v>
      </c>
      <c r="C36" s="306"/>
      <c r="D36" s="307"/>
      <c r="E36" s="307"/>
      <c r="F36" s="307" t="s">
        <v>185</v>
      </c>
      <c r="G36" s="306"/>
      <c r="H36" s="318" t="s">
        <v>188</v>
      </c>
      <c r="I36" s="317"/>
    </row>
    <row r="37" spans="1:9" s="1" customFormat="1" ht="27.75" customHeight="1">
      <c r="A37" s="173"/>
      <c r="B37" s="174" t="s">
        <v>183</v>
      </c>
      <c r="C37" s="175">
        <v>42370</v>
      </c>
      <c r="D37" s="176">
        <v>42401</v>
      </c>
      <c r="E37" s="176">
        <v>40238</v>
      </c>
      <c r="F37" s="176">
        <v>42430</v>
      </c>
      <c r="G37" s="177" t="s">
        <v>186</v>
      </c>
      <c r="H37" s="314" t="s">
        <v>187</v>
      </c>
      <c r="I37" s="315" t="s">
        <v>189</v>
      </c>
    </row>
    <row r="38" spans="1:9" s="1" customFormat="1" ht="15.75" customHeight="1">
      <c r="A38" s="171"/>
      <c r="B38" s="273" t="s">
        <v>41</v>
      </c>
      <c r="C38" s="180" t="s">
        <v>41</v>
      </c>
      <c r="D38" s="222" t="s">
        <v>41</v>
      </c>
      <c r="E38" s="222" t="s">
        <v>41</v>
      </c>
      <c r="F38" s="222"/>
      <c r="G38" s="286" t="s">
        <v>41</v>
      </c>
      <c r="H38" s="286" t="s">
        <v>41</v>
      </c>
      <c r="I38" s="286" t="s">
        <v>41</v>
      </c>
    </row>
    <row r="39" spans="1:7" ht="15.75" customHeight="1">
      <c r="A39" s="182" t="s">
        <v>53</v>
      </c>
      <c r="B39" s="207"/>
      <c r="C39" s="201"/>
      <c r="D39" s="200"/>
      <c r="E39" s="200"/>
      <c r="F39" s="200"/>
      <c r="G39" s="204"/>
    </row>
    <row r="40" spans="1:7" ht="15.75" customHeight="1">
      <c r="A40" s="178"/>
      <c r="B40" s="207"/>
      <c r="C40" s="201"/>
      <c r="D40" s="200"/>
      <c r="E40" s="200"/>
      <c r="F40" s="200"/>
      <c r="G40" s="204"/>
    </row>
    <row r="41" spans="1:9" ht="15.75" customHeight="1">
      <c r="A41" s="190" t="s">
        <v>54</v>
      </c>
      <c r="B41" s="207">
        <v>1650669</v>
      </c>
      <c r="C41" s="207">
        <f>'[15]Sheet1'!$B$12*-1</f>
        <v>153163.62562668003</v>
      </c>
      <c r="D41" s="200">
        <f>'[18]Sheet1'!$C$14*-1</f>
        <v>154223.83627362002</v>
      </c>
      <c r="E41" s="209">
        <f>'[2]Sheet1'!$D$16*-1</f>
        <v>33464.22031809001</v>
      </c>
      <c r="F41" s="209">
        <f>'[17]Sheet1'!$D$12*-1</f>
        <v>152521.25455469</v>
      </c>
      <c r="G41" s="204">
        <f>C41+D41+F41</f>
        <v>459908.7164549901</v>
      </c>
      <c r="H41" s="311">
        <f>'[18]Sheet1'!$F$14*-1</f>
        <v>143979.47735014</v>
      </c>
      <c r="I41" s="312">
        <f>H41+G41</f>
        <v>603888.1938051301</v>
      </c>
    </row>
    <row r="42" spans="1:9" ht="15.75" customHeight="1">
      <c r="A42" s="190" t="s">
        <v>55</v>
      </c>
      <c r="B42" s="207">
        <v>1171138</v>
      </c>
      <c r="C42" s="207">
        <f>('[13]Sheet1'!$B$11+'[13]Sheet1'!$B$12)*-1</f>
        <v>37179.59251725</v>
      </c>
      <c r="D42" s="200">
        <f>'[18]Sheet1'!$C$15*-1</f>
        <v>144570.19333483</v>
      </c>
      <c r="E42" s="209">
        <f>('[2]Sheet1'!$D$17+'[2]Sheet1'!$D$18+'[2]Sheet1'!$D$19)*-1</f>
        <v>60680.85201937002</v>
      </c>
      <c r="F42" s="209">
        <f>('[17]Sheet1'!$D$13+'[17]Sheet1'!$D$14)*-1</f>
        <v>123137.70202565001</v>
      </c>
      <c r="G42" s="204">
        <f>C42+D42+F42</f>
        <v>304887.48787773</v>
      </c>
      <c r="H42" s="311">
        <f>('[18]Sheet1'!$F$15+'[18]Sheet1'!$F$16)*-1</f>
        <v>104507.94526935</v>
      </c>
      <c r="I42" s="312">
        <f>H42+G42</f>
        <v>409395.43314708</v>
      </c>
    </row>
    <row r="43" spans="1:9" ht="15.75" customHeight="1">
      <c r="A43" s="190" t="s">
        <v>56</v>
      </c>
      <c r="B43" s="208">
        <v>68675</v>
      </c>
      <c r="C43" s="208">
        <v>0</v>
      </c>
      <c r="D43" s="209">
        <v>0</v>
      </c>
      <c r="E43" s="209">
        <f>'[3]Sheet1'!$D$3/1000000</f>
        <v>1262.6</v>
      </c>
      <c r="F43" s="209"/>
      <c r="G43" s="204">
        <f>C43+D43</f>
        <v>0</v>
      </c>
      <c r="I43" s="166"/>
    </row>
    <row r="44" spans="1:9" ht="15.75" customHeight="1">
      <c r="A44" s="210" t="s">
        <v>175</v>
      </c>
      <c r="B44" s="208">
        <v>137090</v>
      </c>
      <c r="C44" s="208">
        <f>'[10]Sheet1'!$B$15</f>
        <v>0</v>
      </c>
      <c r="D44" s="209">
        <v>0</v>
      </c>
      <c r="E44" s="209">
        <f>'[2]Sheet1'!$D$18*-1</f>
        <v>6459.118826000002</v>
      </c>
      <c r="F44" s="209"/>
      <c r="G44" s="204">
        <f>C44+D44</f>
        <v>0</v>
      </c>
      <c r="I44" s="166"/>
    </row>
    <row r="45" spans="1:9" ht="15.75" customHeight="1">
      <c r="A45" s="210" t="s">
        <v>58</v>
      </c>
      <c r="B45" s="208">
        <v>113503</v>
      </c>
      <c r="C45" s="208">
        <v>0</v>
      </c>
      <c r="D45" s="209">
        <v>0</v>
      </c>
      <c r="E45" s="209">
        <f>'[2]Sheet1'!$D$19*-1</f>
        <v>5362.793000000001</v>
      </c>
      <c r="F45" s="209"/>
      <c r="G45" s="204">
        <f>C45+D45</f>
        <v>0</v>
      </c>
      <c r="I45" s="166"/>
    </row>
    <row r="46" spans="1:9" ht="15.75" customHeight="1">
      <c r="A46" s="210" t="s">
        <v>154</v>
      </c>
      <c r="B46" s="208">
        <v>91841</v>
      </c>
      <c r="C46" s="208">
        <f>'[14]Sheet1'!$B$4</f>
        <v>0</v>
      </c>
      <c r="D46" s="209">
        <v>0</v>
      </c>
      <c r="E46" s="209">
        <f>'[3]Sheet1'!$D$4/1000000</f>
        <v>6418.653178</v>
      </c>
      <c r="F46" s="209"/>
      <c r="G46" s="194">
        <f>C46+D46</f>
        <v>0</v>
      </c>
      <c r="I46" s="166"/>
    </row>
    <row r="47" spans="1:9" ht="15.75" customHeight="1">
      <c r="A47" s="195" t="s">
        <v>60</v>
      </c>
      <c r="B47" s="296">
        <v>613412</v>
      </c>
      <c r="C47" s="296">
        <f>'[13]Sheet1'!$B$13*-1</f>
        <v>48390.509111</v>
      </c>
      <c r="D47" s="285">
        <f>'[18]Sheet1'!$C$17*-1</f>
        <v>98135.46886602002</v>
      </c>
      <c r="E47" s="225">
        <f>'[2]Sheet1'!$D$20*-1</f>
        <v>44059.66848955</v>
      </c>
      <c r="F47" s="225">
        <f>'[17]Sheet1'!$D$15*-1</f>
        <v>8957.303254</v>
      </c>
      <c r="G47" s="204">
        <f>C47+D47+F47</f>
        <v>155483.28123102002</v>
      </c>
      <c r="H47" s="311">
        <f>'[18]Sheet1'!$F$17*-1</f>
        <v>6031.581263980001</v>
      </c>
      <c r="I47" s="319">
        <f>H47+G47</f>
        <v>161514.86249500004</v>
      </c>
    </row>
    <row r="48" spans="1:9" ht="15.75" customHeight="1">
      <c r="A48" s="205" t="s">
        <v>61</v>
      </c>
      <c r="B48" s="199">
        <f aca="true" t="shared" si="4" ref="B48:I48">B41+B42+B47</f>
        <v>3435219</v>
      </c>
      <c r="C48" s="198">
        <f t="shared" si="4"/>
        <v>238733.72725493</v>
      </c>
      <c r="D48" s="285">
        <f t="shared" si="4"/>
        <v>396929.49847447005</v>
      </c>
      <c r="E48" s="198">
        <f t="shared" si="4"/>
        <v>138204.74082701004</v>
      </c>
      <c r="F48" s="198">
        <f t="shared" si="4"/>
        <v>284616.2598343401</v>
      </c>
      <c r="G48" s="213">
        <f t="shared" si="4"/>
        <v>920279.48556374</v>
      </c>
      <c r="H48" s="212">
        <f t="shared" si="4"/>
        <v>254519.00388347002</v>
      </c>
      <c r="I48" s="212">
        <f t="shared" si="4"/>
        <v>1174798.4894472102</v>
      </c>
    </row>
    <row r="49" spans="1:7" ht="15.75" customHeight="1">
      <c r="A49" s="197"/>
      <c r="B49" s="279"/>
      <c r="C49" s="214"/>
      <c r="D49" s="214"/>
      <c r="E49" s="214"/>
      <c r="F49" s="214"/>
      <c r="G49" s="278"/>
    </row>
    <row r="50" spans="1:9" ht="15.75" customHeight="1">
      <c r="A50" s="205" t="s">
        <v>156</v>
      </c>
      <c r="B50" s="212">
        <f aca="true" t="shared" si="5" ref="B50:I50">B32-B48</f>
        <v>-77798</v>
      </c>
      <c r="C50" s="198">
        <f t="shared" si="5"/>
        <v>-39079.60865671997</v>
      </c>
      <c r="D50" s="198">
        <f t="shared" si="5"/>
        <v>-196006.25416076998</v>
      </c>
      <c r="E50" s="198">
        <f t="shared" si="5"/>
        <v>16352.863669059967</v>
      </c>
      <c r="F50" s="198">
        <f t="shared" si="5"/>
        <v>-1574.3371773400577</v>
      </c>
      <c r="G50" s="213">
        <f t="shared" si="5"/>
        <v>-236660.19999482995</v>
      </c>
      <c r="H50" s="212">
        <f t="shared" si="5"/>
        <v>-24942.103529590036</v>
      </c>
      <c r="I50" s="212">
        <f t="shared" si="5"/>
        <v>-261602.30352442001</v>
      </c>
    </row>
    <row r="51" spans="1:7" ht="15.75" customHeight="1">
      <c r="A51" s="215"/>
      <c r="B51" s="216"/>
      <c r="C51" s="200"/>
      <c r="D51" s="200"/>
      <c r="E51" s="200"/>
      <c r="F51" s="200"/>
      <c r="G51" s="217"/>
    </row>
    <row r="52" spans="1:9" ht="15.75" customHeight="1">
      <c r="A52" s="190" t="s">
        <v>62</v>
      </c>
      <c r="B52" s="207">
        <f>B53+B54</f>
        <v>299621</v>
      </c>
      <c r="C52" s="204">
        <f>C53+C54</f>
        <v>-9523.595510480001</v>
      </c>
      <c r="D52" s="200">
        <f>D53+D54</f>
        <v>-12469.750863899997</v>
      </c>
      <c r="E52" s="200">
        <f>E53+E54</f>
        <v>-7858.9530005100005</v>
      </c>
      <c r="F52" s="200">
        <f>F53+F54</f>
        <v>-12609.68849654</v>
      </c>
      <c r="G52" s="204">
        <f>C52+D52+F52</f>
        <v>-34603.03487092</v>
      </c>
      <c r="H52" s="311">
        <f>H53+H54</f>
        <v>-14322.16497083</v>
      </c>
      <c r="I52" s="312">
        <f>H52+G52</f>
        <v>-48925.19984175</v>
      </c>
    </row>
    <row r="53" spans="1:9" ht="15.75" customHeight="1">
      <c r="A53" s="218" t="s">
        <v>63</v>
      </c>
      <c r="B53" s="208">
        <v>254202</v>
      </c>
      <c r="C53" s="194">
        <f>'[13]Sheet1'!$B$18</f>
        <v>-6286.47979517</v>
      </c>
      <c r="D53" s="209">
        <f>'[15]Sheet1'!$C$20</f>
        <v>-8382.875477439997</v>
      </c>
      <c r="E53" s="209">
        <f>'[2]Sheet1'!$D$25</f>
        <v>-4760.600532570001</v>
      </c>
      <c r="F53" s="209">
        <f>'[18]Sheet1'!$D$22</f>
        <v>-7245.230173309999</v>
      </c>
      <c r="G53" s="204">
        <f aca="true" t="shared" si="6" ref="G53:G62">C53+D53+F53</f>
        <v>-21914.585445919998</v>
      </c>
      <c r="H53" s="311">
        <f>'[18]Sheet1'!$F$22</f>
        <v>-14322.16497083</v>
      </c>
      <c r="I53" s="312">
        <f>H53+G53</f>
        <v>-36236.75041675</v>
      </c>
    </row>
    <row r="54" spans="1:9" ht="15.75" customHeight="1">
      <c r="A54" s="218" t="s">
        <v>64</v>
      </c>
      <c r="B54" s="208">
        <v>45419</v>
      </c>
      <c r="C54" s="194">
        <f>'[18]Sheet1'!$B$23</f>
        <v>-3237.1157153100003</v>
      </c>
      <c r="D54" s="209">
        <f>'[15]Sheet1'!$C$21</f>
        <v>-4086.87538646</v>
      </c>
      <c r="E54" s="209">
        <f>'[2]Sheet1'!$D$26</f>
        <v>-3098.3524679399998</v>
      </c>
      <c r="F54" s="209">
        <f>'[17]Sheet1'!$D$21</f>
        <v>-5364.458323230001</v>
      </c>
      <c r="G54" s="204">
        <f t="shared" si="6"/>
        <v>-12688.449425</v>
      </c>
      <c r="I54" s="312">
        <f>H54+G54</f>
        <v>-12688.449425</v>
      </c>
    </row>
    <row r="55" spans="1:9" ht="15.75" customHeight="1">
      <c r="A55" s="190" t="s">
        <v>65</v>
      </c>
      <c r="B55" s="207">
        <f>B57+B58+B59+B56</f>
        <v>-19629</v>
      </c>
      <c r="C55" s="204">
        <f>SUM(C56:C59)</f>
        <v>-77190.050897</v>
      </c>
      <c r="D55" s="200">
        <f>SUM(D56:D59)</f>
        <v>-14897.245237899997</v>
      </c>
      <c r="E55" s="200">
        <f>SUM(E56:E59)</f>
        <v>-2879.4296697500004</v>
      </c>
      <c r="F55" s="200">
        <f>SUM(F56:F59)</f>
        <v>-23752.45865909</v>
      </c>
      <c r="G55" s="204">
        <f t="shared" si="6"/>
        <v>-115839.75479399</v>
      </c>
      <c r="H55" s="311">
        <f>H56+H57+H58+H59</f>
        <v>-631.3232526099999</v>
      </c>
      <c r="I55" s="311">
        <f>I56+I57+I58+I59</f>
        <v>-116471.0780466</v>
      </c>
    </row>
    <row r="56" spans="1:9" ht="15.75" customHeight="1">
      <c r="A56" s="218" t="s">
        <v>66</v>
      </c>
      <c r="B56" s="208">
        <v>-10107</v>
      </c>
      <c r="C56" s="194">
        <v>0</v>
      </c>
      <c r="D56" s="209">
        <v>0</v>
      </c>
      <c r="E56" s="209">
        <v>0</v>
      </c>
      <c r="F56" s="209"/>
      <c r="G56" s="204">
        <f aca="true" t="shared" si="7" ref="G56:G66">C56+D56</f>
        <v>0</v>
      </c>
      <c r="I56" s="166"/>
    </row>
    <row r="57" spans="1:9" ht="15.75" customHeight="1">
      <c r="A57" s="218" t="s">
        <v>67</v>
      </c>
      <c r="B57" s="208">
        <v>-9522</v>
      </c>
      <c r="C57" s="194">
        <f>'[13]Sheet1'!$B$19</f>
        <v>-868.6495819999999</v>
      </c>
      <c r="D57" s="209">
        <f>'[15]Sheet1'!$C$22</f>
        <v>-186.58647900000003</v>
      </c>
      <c r="E57" s="209">
        <f>'[2]Sheet1'!$D$27</f>
        <v>-609.195333</v>
      </c>
      <c r="F57" s="209">
        <f>'[17]Sheet1'!$D$22</f>
        <v>-37.47</v>
      </c>
      <c r="G57" s="204">
        <f t="shared" si="6"/>
        <v>-1092.7060609999999</v>
      </c>
      <c r="I57" s="312">
        <f>H57+G57</f>
        <v>-1092.7060609999999</v>
      </c>
    </row>
    <row r="58" spans="1:9" ht="15.75">
      <c r="A58" s="218" t="s">
        <v>68</v>
      </c>
      <c r="B58" s="208"/>
      <c r="C58" s="194">
        <v>0</v>
      </c>
      <c r="D58" s="209">
        <v>0</v>
      </c>
      <c r="E58" s="209">
        <v>0</v>
      </c>
      <c r="F58" s="209"/>
      <c r="G58" s="204">
        <f t="shared" si="7"/>
        <v>0</v>
      </c>
      <c r="I58" s="166"/>
    </row>
    <row r="59" spans="1:9" ht="15.75">
      <c r="A59" s="218" t="s">
        <v>69</v>
      </c>
      <c r="B59" s="208">
        <v>0</v>
      </c>
      <c r="C59" s="194">
        <f>'[13]Sheet1'!$B$20</f>
        <v>-76321.401315</v>
      </c>
      <c r="D59" s="209">
        <f>'[15]Sheet1'!$C$23</f>
        <v>-14710.658758899997</v>
      </c>
      <c r="E59" s="209">
        <f>'[2]Sheet1'!$D$28</f>
        <v>-2270.2343367500002</v>
      </c>
      <c r="F59" s="209">
        <f>'[17]Sheet1'!$D$23</f>
        <v>-23714.98865909</v>
      </c>
      <c r="G59" s="204">
        <f t="shared" si="6"/>
        <v>-114747.04873298999</v>
      </c>
      <c r="H59" s="311">
        <f>'[18]Sheet1'!$F$25</f>
        <v>-631.3232526099999</v>
      </c>
      <c r="I59" s="312">
        <f>H59+G59</f>
        <v>-115378.3719856</v>
      </c>
    </row>
    <row r="60" spans="1:9" ht="15.75">
      <c r="A60" s="218" t="s">
        <v>182</v>
      </c>
      <c r="B60" s="207">
        <v>-25030</v>
      </c>
      <c r="C60" s="194"/>
      <c r="D60" s="209">
        <v>0</v>
      </c>
      <c r="E60" s="209"/>
      <c r="F60" s="209"/>
      <c r="G60" s="204">
        <f t="shared" si="7"/>
        <v>0</v>
      </c>
      <c r="I60" s="166"/>
    </row>
    <row r="61" spans="1:9" ht="15.75">
      <c r="A61" s="219" t="s">
        <v>70</v>
      </c>
      <c r="B61" s="208">
        <v>0</v>
      </c>
      <c r="C61" s="194">
        <f>'[13]Sheet1'!$B$16</f>
        <v>60697.374056399996</v>
      </c>
      <c r="D61" s="209">
        <f>'[15]Sheet1'!$C$18</f>
        <v>30599.427689600016</v>
      </c>
      <c r="E61" s="209">
        <f>'[2]Sheet1'!$D$23</f>
        <v>11223.926211000002</v>
      </c>
      <c r="F61" s="209">
        <f>'[17]Sheet1'!$D$18</f>
        <v>-45690.24748500001</v>
      </c>
      <c r="G61" s="204">
        <f t="shared" si="6"/>
        <v>45606.554261000005</v>
      </c>
      <c r="H61" s="311">
        <f>'[18]Sheet1'!$F$20</f>
        <v>49471.74281067001</v>
      </c>
      <c r="I61" s="312">
        <f>H61+G61</f>
        <v>95078.29707167001</v>
      </c>
    </row>
    <row r="62" spans="1:9" ht="15.75">
      <c r="A62" s="284" t="s">
        <v>103</v>
      </c>
      <c r="B62" s="194">
        <v>0</v>
      </c>
      <c r="C62" s="194">
        <f>'[18]Sheet1'!$B$19</f>
        <v>170.69267537000098</v>
      </c>
      <c r="D62" s="209">
        <f>'[18]Sheet1'!$C$19</f>
        <v>1046.4898446200013</v>
      </c>
      <c r="E62" s="209">
        <f>'[2]Sheet1'!$D$22</f>
        <v>4813.448718</v>
      </c>
      <c r="F62" s="209">
        <f>'[18]Sheet1'!$D$19</f>
        <v>674.361380569996</v>
      </c>
      <c r="G62" s="204">
        <f t="shared" si="6"/>
        <v>1891.5439005599983</v>
      </c>
      <c r="H62" s="311">
        <f>'[18]Sheet1'!$F$19</f>
        <v>16860.897787480004</v>
      </c>
      <c r="I62" s="312">
        <f>H62+G62</f>
        <v>18752.441688040002</v>
      </c>
    </row>
    <row r="63" spans="1:7" ht="15.75" hidden="1">
      <c r="A63" s="219" t="s">
        <v>71</v>
      </c>
      <c r="B63" s="207">
        <v>0</v>
      </c>
      <c r="C63" s="204"/>
      <c r="D63" s="200"/>
      <c r="E63" s="200"/>
      <c r="F63" s="200"/>
      <c r="G63" s="204">
        <f t="shared" si="7"/>
        <v>0</v>
      </c>
    </row>
    <row r="64" spans="1:7" ht="15.75" hidden="1">
      <c r="A64" s="219" t="s">
        <v>72</v>
      </c>
      <c r="B64" s="207">
        <v>0</v>
      </c>
      <c r="C64" s="204"/>
      <c r="D64" s="200"/>
      <c r="E64" s="200"/>
      <c r="F64" s="200"/>
      <c r="G64" s="204">
        <f t="shared" si="7"/>
        <v>0</v>
      </c>
    </row>
    <row r="65" spans="1:7" ht="15.75" hidden="1">
      <c r="A65" s="219" t="s">
        <v>73</v>
      </c>
      <c r="B65" s="207">
        <v>0</v>
      </c>
      <c r="C65" s="194">
        <v>0</v>
      </c>
      <c r="D65" s="209">
        <v>0</v>
      </c>
      <c r="E65" s="209">
        <v>0</v>
      </c>
      <c r="F65" s="209"/>
      <c r="G65" s="204">
        <f t="shared" si="7"/>
        <v>0</v>
      </c>
    </row>
    <row r="66" spans="1:7" ht="15.75">
      <c r="A66" s="219" t="s">
        <v>74</v>
      </c>
      <c r="B66" s="207">
        <v>0</v>
      </c>
      <c r="C66" s="194">
        <v>0</v>
      </c>
      <c r="D66" s="209">
        <v>0</v>
      </c>
      <c r="E66" s="209">
        <v>0</v>
      </c>
      <c r="F66" s="209"/>
      <c r="G66" s="204">
        <f t="shared" si="7"/>
        <v>0</v>
      </c>
    </row>
    <row r="67" spans="1:9" ht="15.75">
      <c r="A67" s="205" t="s">
        <v>155</v>
      </c>
      <c r="B67" s="212">
        <f>B52+B55+B62+B60+B66</f>
        <v>254962</v>
      </c>
      <c r="C67" s="199">
        <f aca="true" t="shared" si="8" ref="C67:H67">C52+C55+C61+C63+C64+C65+C66+C62</f>
        <v>-25845.579675710003</v>
      </c>
      <c r="D67" s="198">
        <f t="shared" si="8"/>
        <v>4278.921432420021</v>
      </c>
      <c r="E67" s="198">
        <f t="shared" si="8"/>
        <v>5298.99225874</v>
      </c>
      <c r="F67" s="198">
        <f t="shared" si="8"/>
        <v>-81378.03326006001</v>
      </c>
      <c r="G67" s="198">
        <f t="shared" si="8"/>
        <v>-102944.69150334998</v>
      </c>
      <c r="H67" s="198">
        <f t="shared" si="8"/>
        <v>51379.152374710015</v>
      </c>
      <c r="I67" s="198">
        <f>H67+G67</f>
        <v>-51565.53912863997</v>
      </c>
    </row>
    <row r="68" spans="1:7" ht="15.75" customHeight="1">
      <c r="A68" s="279"/>
      <c r="B68" s="214"/>
      <c r="C68" s="214"/>
      <c r="D68" s="214"/>
      <c r="E68" s="214"/>
      <c r="F68" s="214"/>
      <c r="G68" s="278"/>
    </row>
    <row r="69" spans="1:9" ht="15.75" customHeight="1">
      <c r="A69" s="205" t="s">
        <v>157</v>
      </c>
      <c r="B69" s="212">
        <f aca="true" t="shared" si="9" ref="B69:I69">B50+B67</f>
        <v>177164</v>
      </c>
      <c r="C69" s="199">
        <f t="shared" si="9"/>
        <v>-64925.18833242997</v>
      </c>
      <c r="D69" s="198">
        <f t="shared" si="9"/>
        <v>-191727.33272834995</v>
      </c>
      <c r="E69" s="198">
        <f t="shared" si="9"/>
        <v>21651.855927799967</v>
      </c>
      <c r="F69" s="198">
        <f t="shared" si="9"/>
        <v>-82952.37043740007</v>
      </c>
      <c r="G69" s="198">
        <f t="shared" si="9"/>
        <v>-339604.89149817993</v>
      </c>
      <c r="H69" s="198">
        <f t="shared" si="9"/>
        <v>26437.048845119978</v>
      </c>
      <c r="I69" s="198">
        <f t="shared" si="9"/>
        <v>-313167.84265306</v>
      </c>
    </row>
    <row r="70" spans="1:7" ht="15.75" customHeight="1">
      <c r="A70" s="168"/>
      <c r="B70" s="168"/>
      <c r="C70" s="168"/>
      <c r="D70" s="168"/>
      <c r="E70" s="168"/>
      <c r="F70" s="168"/>
      <c r="G70" s="206"/>
    </row>
    <row r="71" spans="1:7" ht="15.75" customHeight="1">
      <c r="A71" s="348" t="s">
        <v>151</v>
      </c>
      <c r="B71" s="348"/>
      <c r="C71" s="348"/>
      <c r="D71" s="348"/>
      <c r="E71" s="348"/>
      <c r="F71" s="348"/>
      <c r="G71" s="348"/>
    </row>
    <row r="72" spans="1:7" ht="15.75" customHeight="1">
      <c r="A72" s="349" t="s">
        <v>191</v>
      </c>
      <c r="B72" s="349"/>
      <c r="C72" s="166"/>
      <c r="D72" s="166"/>
      <c r="E72" s="166"/>
      <c r="F72" s="166"/>
      <c r="G72" s="167"/>
    </row>
    <row r="73" spans="1:9" ht="64.5" customHeight="1">
      <c r="A73" s="197"/>
      <c r="B73" s="172" t="s">
        <v>145</v>
      </c>
      <c r="C73" s="306"/>
      <c r="D73" s="307"/>
      <c r="E73" s="307"/>
      <c r="F73" s="307" t="s">
        <v>185</v>
      </c>
      <c r="G73" s="306"/>
      <c r="H73" s="318" t="s">
        <v>188</v>
      </c>
      <c r="I73" s="313"/>
    </row>
    <row r="74" spans="1:9" ht="29.25" customHeight="1">
      <c r="A74" s="173"/>
      <c r="B74" s="174" t="s">
        <v>183</v>
      </c>
      <c r="C74" s="175">
        <v>42370</v>
      </c>
      <c r="D74" s="176">
        <v>42401</v>
      </c>
      <c r="E74" s="176">
        <v>40238</v>
      </c>
      <c r="F74" s="176">
        <v>42430</v>
      </c>
      <c r="G74" s="177" t="s">
        <v>186</v>
      </c>
      <c r="H74" s="314" t="s">
        <v>187</v>
      </c>
      <c r="I74" s="315" t="s">
        <v>189</v>
      </c>
    </row>
    <row r="75" spans="1:9" ht="15.75" customHeight="1">
      <c r="A75" s="171"/>
      <c r="B75" s="273" t="s">
        <v>41</v>
      </c>
      <c r="C75" s="180" t="s">
        <v>41</v>
      </c>
      <c r="D75" s="222" t="s">
        <v>41</v>
      </c>
      <c r="E75" s="222" t="s">
        <v>41</v>
      </c>
      <c r="F75" s="222"/>
      <c r="G75" s="286" t="s">
        <v>41</v>
      </c>
      <c r="H75" s="286" t="s">
        <v>41</v>
      </c>
      <c r="I75" s="286" t="s">
        <v>41</v>
      </c>
    </row>
    <row r="76" spans="1:7" ht="15.75" customHeight="1">
      <c r="A76" s="178" t="s">
        <v>77</v>
      </c>
      <c r="B76" s="178"/>
      <c r="C76" s="289"/>
      <c r="D76" s="168"/>
      <c r="E76" s="168"/>
      <c r="F76" s="168"/>
      <c r="G76" s="290"/>
    </row>
    <row r="77" spans="1:9" ht="15">
      <c r="A77" s="178" t="s">
        <v>78</v>
      </c>
      <c r="B77" s="208">
        <v>0</v>
      </c>
      <c r="C77" s="208">
        <f>'[18]Sheet1'!$B$29+'[18]Sheet1'!$B$30</f>
        <v>2980.90328769</v>
      </c>
      <c r="D77" s="209">
        <f>'[15]Sheet1'!$C$27+'[15]Sheet1'!$C$28</f>
        <v>64271.85540104</v>
      </c>
      <c r="E77" s="209">
        <f>'[2]Sheet1'!$D$32+'[2]Sheet1'!$D$33</f>
        <v>-8149.201295000001</v>
      </c>
      <c r="F77" s="209">
        <f>'[17]Sheet1'!$D$27+'[17]Sheet1'!$D$28</f>
        <v>21470.893610019994</v>
      </c>
      <c r="G77" s="194">
        <f>C77+D77+F77</f>
        <v>88723.65229874999</v>
      </c>
      <c r="H77" s="311">
        <f>'[18]Sheet1'!$F$29+'[18]Sheet1'!$F$30</f>
        <v>28200.95109189</v>
      </c>
      <c r="I77" s="312">
        <f>H77+G77</f>
        <v>116924.60339064</v>
      </c>
    </row>
    <row r="78" spans="1:9" ht="15">
      <c r="A78" s="178" t="s">
        <v>142</v>
      </c>
      <c r="B78" s="208">
        <v>738000</v>
      </c>
      <c r="C78" s="208">
        <f>'[18]Sheet1'!$B$27</f>
        <v>27504.34754309999</v>
      </c>
      <c r="D78" s="209">
        <f>'[15]Sheet1'!$C$25</f>
        <v>-23049.78623783</v>
      </c>
      <c r="E78" s="209">
        <v>0</v>
      </c>
      <c r="F78" s="209">
        <f>'[17]Sheet1'!$D$25</f>
        <v>-49059.57222715</v>
      </c>
      <c r="G78" s="194">
        <f>C78+D78+F78</f>
        <v>-44605.010921880006</v>
      </c>
      <c r="H78" s="311">
        <f>'[18]Sheet1'!$F$27</f>
        <v>224.26142053000163</v>
      </c>
      <c r="I78" s="312">
        <f>H78+G78</f>
        <v>-44380.74950135</v>
      </c>
    </row>
    <row r="79" spans="1:9" ht="15">
      <c r="A79" s="203" t="s">
        <v>79</v>
      </c>
      <c r="B79" s="208">
        <v>0</v>
      </c>
      <c r="C79" s="208">
        <f>'[11]Sheet1'!$B$30</f>
        <v>0</v>
      </c>
      <c r="D79" s="209">
        <v>0</v>
      </c>
      <c r="E79" s="209">
        <v>0</v>
      </c>
      <c r="F79" s="209"/>
      <c r="G79" s="194">
        <f aca="true" t="shared" si="10" ref="G79:G84">C79+D79</f>
        <v>0</v>
      </c>
      <c r="I79" s="166"/>
    </row>
    <row r="80" spans="1:9" ht="15">
      <c r="A80" s="203" t="s">
        <v>80</v>
      </c>
      <c r="B80" s="208">
        <v>-158963</v>
      </c>
      <c r="C80" s="208">
        <f>'[16]report'!$C$80</f>
        <v>-952.4184384</v>
      </c>
      <c r="D80" s="209">
        <f>'[18]Sheet1'!$C$28</f>
        <v>-856.70562755</v>
      </c>
      <c r="E80" s="209">
        <f>'[2]Sheet1'!$D$31</f>
        <v>-1134.72357842</v>
      </c>
      <c r="F80" s="209">
        <f>'[17]Sheet1'!$D$26</f>
        <v>-9193.87165879</v>
      </c>
      <c r="G80" s="194">
        <f>C80+D80+F80</f>
        <v>-11002.99572474</v>
      </c>
      <c r="I80" s="312">
        <f>H80+G80</f>
        <v>-11002.99572474</v>
      </c>
    </row>
    <row r="81" spans="1:7" ht="15">
      <c r="A81" s="203" t="s">
        <v>178</v>
      </c>
      <c r="B81" s="282">
        <v>0</v>
      </c>
      <c r="C81" s="208">
        <v>0</v>
      </c>
      <c r="D81" s="209">
        <v>0</v>
      </c>
      <c r="E81" s="209">
        <v>0</v>
      </c>
      <c r="F81" s="209"/>
      <c r="G81" s="194">
        <f t="shared" si="10"/>
        <v>0</v>
      </c>
    </row>
    <row r="82" spans="1:10" ht="15">
      <c r="A82" s="203" t="s">
        <v>143</v>
      </c>
      <c r="B82" s="282">
        <v>0</v>
      </c>
      <c r="C82" s="208">
        <v>0</v>
      </c>
      <c r="D82" s="209">
        <v>0</v>
      </c>
      <c r="E82" s="209">
        <v>0</v>
      </c>
      <c r="F82" s="209"/>
      <c r="G82" s="194">
        <f t="shared" si="10"/>
        <v>0</v>
      </c>
      <c r="J82" s="305"/>
    </row>
    <row r="83" spans="1:7" ht="15">
      <c r="A83" s="203" t="s">
        <v>177</v>
      </c>
      <c r="B83" s="282">
        <v>0</v>
      </c>
      <c r="C83" s="208">
        <v>0</v>
      </c>
      <c r="D83" s="209">
        <v>0</v>
      </c>
      <c r="E83" s="209">
        <v>0</v>
      </c>
      <c r="F83" s="209"/>
      <c r="G83" s="194">
        <f t="shared" si="10"/>
        <v>0</v>
      </c>
    </row>
    <row r="84" spans="1:7" ht="15">
      <c r="A84" s="274" t="s">
        <v>168</v>
      </c>
      <c r="B84" s="275">
        <v>0</v>
      </c>
      <c r="C84" s="208">
        <v>0</v>
      </c>
      <c r="D84" s="209">
        <f>'[2]Sheet1'!$C$33</f>
        <v>0</v>
      </c>
      <c r="E84" s="209">
        <f>'[2]Sheet1'!$D$34</f>
        <v>-570</v>
      </c>
      <c r="F84" s="209"/>
      <c r="G84" s="194">
        <f t="shared" si="10"/>
        <v>0</v>
      </c>
    </row>
    <row r="85" spans="1:7" ht="15.75" hidden="1">
      <c r="A85" s="223" t="s">
        <v>127</v>
      </c>
      <c r="B85" s="208"/>
      <c r="C85" s="224"/>
      <c r="D85" s="225"/>
      <c r="E85" s="225"/>
      <c r="F85" s="225"/>
      <c r="G85" s="220"/>
    </row>
    <row r="86" spans="1:9" ht="15.75">
      <c r="A86" s="205" t="s">
        <v>81</v>
      </c>
      <c r="B86" s="212">
        <f aca="true" t="shared" si="11" ref="B86:I86">SUM(B77:B84)</f>
        <v>579037</v>
      </c>
      <c r="C86" s="199">
        <f t="shared" si="11"/>
        <v>29532.83239238999</v>
      </c>
      <c r="D86" s="198">
        <f t="shared" si="11"/>
        <v>40365.36353565999</v>
      </c>
      <c r="E86" s="198">
        <f t="shared" si="11"/>
        <v>-9853.924873420001</v>
      </c>
      <c r="F86" s="198">
        <f t="shared" si="11"/>
        <v>-36782.55027592</v>
      </c>
      <c r="G86" s="198">
        <f t="shared" si="11"/>
        <v>33115.645652129984</v>
      </c>
      <c r="H86" s="198">
        <f t="shared" si="11"/>
        <v>28425.212512420003</v>
      </c>
      <c r="I86" s="198">
        <f t="shared" si="11"/>
        <v>61540.858164549994</v>
      </c>
    </row>
    <row r="87" spans="1:9" ht="15.75" customHeight="1">
      <c r="A87" s="280"/>
      <c r="B87" s="214"/>
      <c r="C87" s="214"/>
      <c r="D87" s="214"/>
      <c r="E87" s="214"/>
      <c r="F87" s="214"/>
      <c r="G87" s="281"/>
      <c r="I87" s="129"/>
    </row>
    <row r="88" spans="1:9" ht="31.5">
      <c r="A88" s="276" t="s">
        <v>158</v>
      </c>
      <c r="B88" s="212">
        <f aca="true" t="shared" si="12" ref="B88:I88">B69+B86</f>
        <v>756201</v>
      </c>
      <c r="C88" s="199">
        <f t="shared" si="12"/>
        <v>-35392.35594003998</v>
      </c>
      <c r="D88" s="198">
        <f t="shared" si="12"/>
        <v>-151361.96919268995</v>
      </c>
      <c r="E88" s="198">
        <f t="shared" si="12"/>
        <v>11797.931054379966</v>
      </c>
      <c r="F88" s="198">
        <f t="shared" si="12"/>
        <v>-119734.92071332007</v>
      </c>
      <c r="G88" s="198">
        <f t="shared" si="12"/>
        <v>-306489.24584605</v>
      </c>
      <c r="H88" s="198">
        <f t="shared" si="12"/>
        <v>54862.26135753998</v>
      </c>
      <c r="I88" s="198">
        <f t="shared" si="12"/>
        <v>-251626.98448851</v>
      </c>
    </row>
    <row r="89" spans="2:7" ht="12.75" hidden="1">
      <c r="B89" s="96"/>
      <c r="C89" s="109">
        <v>15139</v>
      </c>
      <c r="D89" s="109">
        <v>-25333</v>
      </c>
      <c r="E89" s="109">
        <v>-730</v>
      </c>
      <c r="F89" s="109"/>
      <c r="G89" s="110">
        <v>-10925</v>
      </c>
    </row>
    <row r="90" spans="2:7" ht="12.75" hidden="1">
      <c r="B90" s="96"/>
      <c r="C90" s="109">
        <f>C89-C88</f>
        <v>50531.35594003998</v>
      </c>
      <c r="D90" s="109">
        <f>D88-D89</f>
        <v>-126028.96919268995</v>
      </c>
      <c r="E90" s="109">
        <f>E88-E89</f>
        <v>12527.931054379966</v>
      </c>
      <c r="F90" s="109"/>
      <c r="G90" s="110">
        <f>G88-G89</f>
        <v>-295564.24584605</v>
      </c>
    </row>
    <row r="91" spans="1:7" ht="12.75" hidden="1">
      <c r="A91" s="164" t="s">
        <v>128</v>
      </c>
      <c r="B91" s="98"/>
      <c r="C91" s="109">
        <v>0</v>
      </c>
      <c r="D91" s="109">
        <f>C92</f>
        <v>-35392.35594003998</v>
      </c>
      <c r="E91" s="109">
        <f>D92</f>
        <v>-186754.32513272995</v>
      </c>
      <c r="F91" s="109"/>
      <c r="G91" s="110"/>
    </row>
    <row r="92" spans="1:7" ht="12.75" hidden="1">
      <c r="A92" s="164" t="s">
        <v>128</v>
      </c>
      <c r="B92" s="106"/>
      <c r="C92" s="107">
        <f>C88+C91</f>
        <v>-35392.35594003998</v>
      </c>
      <c r="D92" s="107">
        <f>D88+D91</f>
        <v>-186754.32513272995</v>
      </c>
      <c r="E92" s="107">
        <f>E88+E91</f>
        <v>-174956.39407835</v>
      </c>
      <c r="F92" s="107"/>
      <c r="G92" s="108"/>
    </row>
    <row r="93" spans="1:7" s="7" customFormat="1" ht="12.75" hidden="1">
      <c r="A93" s="89"/>
      <c r="C93" s="55">
        <f>C32-C48+C67+C86</f>
        <v>-35392.35594003998</v>
      </c>
      <c r="D93" s="55">
        <f>D32-D48+D67+D86</f>
        <v>-151361.96919268995</v>
      </c>
      <c r="E93" s="55">
        <f>E32-E48+E67+E86</f>
        <v>11797.931054379966</v>
      </c>
      <c r="F93" s="55"/>
      <c r="G93" s="55">
        <f>G32-G48+G67+G86</f>
        <v>-306489.24584605</v>
      </c>
    </row>
    <row r="94" spans="3:7" ht="12.75" hidden="1">
      <c r="C94" s="39">
        <f>C88-C93</f>
        <v>0</v>
      </c>
      <c r="D94" s="39">
        <f>D88-D93</f>
        <v>0</v>
      </c>
      <c r="E94" s="39">
        <f>E88-E93</f>
        <v>0</v>
      </c>
      <c r="F94" s="39"/>
      <c r="G94" s="39">
        <f>G88-G93</f>
        <v>0</v>
      </c>
    </row>
    <row r="95" spans="1:7" ht="12.75" hidden="1">
      <c r="A95" s="162" t="s">
        <v>43</v>
      </c>
      <c r="B95" s="65">
        <f>G14</f>
        <v>223477.50341286</v>
      </c>
      <c r="D95" s="1" t="s">
        <v>89</v>
      </c>
      <c r="G95" s="49"/>
    </row>
    <row r="96" spans="1:7" ht="12.75" hidden="1">
      <c r="A96" s="162" t="s">
        <v>44</v>
      </c>
      <c r="B96" s="65">
        <f>G15</f>
        <v>121482.65813389001</v>
      </c>
      <c r="D96" t="s">
        <v>83</v>
      </c>
      <c r="E96" s="53">
        <f>C52*-1</f>
        <v>9523.595510480001</v>
      </c>
      <c r="F96" s="53"/>
      <c r="G96" s="86" t="s">
        <v>95</v>
      </c>
    </row>
    <row r="97" spans="1:7" ht="12.75" hidden="1">
      <c r="A97" s="162" t="s">
        <v>45</v>
      </c>
      <c r="B97" s="65">
        <f>G17</f>
        <v>8946.81900997</v>
      </c>
      <c r="D97" t="s">
        <v>85</v>
      </c>
      <c r="E97" s="53">
        <f>D52*-1</f>
        <v>12469.750863899997</v>
      </c>
      <c r="F97" s="53"/>
      <c r="G97" s="87" t="s">
        <v>96</v>
      </c>
    </row>
    <row r="98" spans="1:7" ht="12.75" hidden="1">
      <c r="A98" s="162" t="s">
        <v>46</v>
      </c>
      <c r="B98" s="65">
        <f>G18</f>
        <v>16980.86554168</v>
      </c>
      <c r="D98" t="s">
        <v>84</v>
      </c>
      <c r="E98" s="53">
        <f>E52*-1</f>
        <v>7858.9530005100005</v>
      </c>
      <c r="F98" s="53"/>
      <c r="G98" s="88" t="s">
        <v>97</v>
      </c>
    </row>
    <row r="99" spans="1:7" ht="12.75" hidden="1">
      <c r="A99" s="162" t="s">
        <v>47</v>
      </c>
      <c r="B99" s="65">
        <f>G19</f>
        <v>37734.317754430005</v>
      </c>
      <c r="E99" s="54"/>
      <c r="F99" s="54"/>
      <c r="G99" s="89"/>
    </row>
    <row r="100" spans="1:7" ht="12.75" hidden="1">
      <c r="A100" s="162" t="s">
        <v>48</v>
      </c>
      <c r="B100" s="65">
        <f>G20</f>
        <v>50056.431041790005</v>
      </c>
      <c r="D100" s="1" t="s">
        <v>88</v>
      </c>
      <c r="G100" s="89"/>
    </row>
    <row r="101" spans="4:7" ht="12.75" hidden="1">
      <c r="D101" s="7" t="s">
        <v>87</v>
      </c>
      <c r="E101" s="55">
        <f>C48-C45</f>
        <v>238733.72725493</v>
      </c>
      <c r="F101" s="55"/>
      <c r="G101" s="91" t="s">
        <v>95</v>
      </c>
    </row>
    <row r="102" spans="4:7" ht="12.75" hidden="1">
      <c r="D102" s="7" t="s">
        <v>85</v>
      </c>
      <c r="E102" s="55">
        <f>D48-D45</f>
        <v>396929.49847447005</v>
      </c>
      <c r="F102" s="55"/>
      <c r="G102" s="55" t="s">
        <v>96</v>
      </c>
    </row>
    <row r="103" spans="4:7" ht="12.75" hidden="1">
      <c r="D103" s="7" t="s">
        <v>84</v>
      </c>
      <c r="E103" s="55">
        <f>E48-E45</f>
        <v>132841.94782701004</v>
      </c>
      <c r="F103" s="55"/>
      <c r="G103" s="92" t="s">
        <v>97</v>
      </c>
    </row>
    <row r="104" spans="1:2" ht="12.75" hidden="1">
      <c r="A104" s="162" t="s">
        <v>54</v>
      </c>
      <c r="B104" s="90">
        <f>G41</f>
        <v>459908.7164549901</v>
      </c>
    </row>
    <row r="105" spans="1:2" ht="12.75" hidden="1">
      <c r="A105" s="162" t="s">
        <v>55</v>
      </c>
      <c r="B105" s="90">
        <f aca="true" t="shared" si="13" ref="B105:B110">G42</f>
        <v>304887.48787773</v>
      </c>
    </row>
    <row r="106" spans="1:4" ht="12.75" hidden="1">
      <c r="A106" s="162" t="s">
        <v>56</v>
      </c>
      <c r="B106" s="90">
        <f t="shared" si="13"/>
        <v>0</v>
      </c>
      <c r="D106" s="1" t="s">
        <v>90</v>
      </c>
    </row>
    <row r="107" spans="1:7" ht="12.75" hidden="1">
      <c r="A107" s="163" t="s">
        <v>57</v>
      </c>
      <c r="B107" s="90">
        <f t="shared" si="13"/>
        <v>0</v>
      </c>
      <c r="D107" s="7" t="str">
        <f>A41</f>
        <v>Wages, Salaries and Employee Benefits</v>
      </c>
      <c r="E107" s="55">
        <f>G41</f>
        <v>459908.7164549901</v>
      </c>
      <c r="F107" s="55"/>
      <c r="G107" s="7" t="s">
        <v>54</v>
      </c>
    </row>
    <row r="108" spans="1:7" ht="12.75" hidden="1">
      <c r="A108" s="163" t="s">
        <v>58</v>
      </c>
      <c r="B108" s="90">
        <f t="shared" si="13"/>
        <v>0</v>
      </c>
      <c r="D108" s="7" t="str">
        <f>A42</f>
        <v>Non-Salary, Non-Interest Recurrent Expenditure</v>
      </c>
      <c r="E108" s="55">
        <f>G42</f>
        <v>304887.48787773</v>
      </c>
      <c r="F108" s="55"/>
      <c r="G108" s="7" t="s">
        <v>55</v>
      </c>
    </row>
    <row r="109" spans="1:7" ht="12.75" hidden="1">
      <c r="A109" s="163" t="s">
        <v>59</v>
      </c>
      <c r="B109" s="90">
        <f t="shared" si="13"/>
        <v>0</v>
      </c>
      <c r="D109" s="7" t="str">
        <f>A47</f>
        <v>Domestic Development Expenditures</v>
      </c>
      <c r="E109" s="55">
        <f>G47</f>
        <v>155483.28123102002</v>
      </c>
      <c r="F109" s="55"/>
      <c r="G109" s="7" t="s">
        <v>60</v>
      </c>
    </row>
    <row r="110" spans="1:7" ht="12.75" hidden="1">
      <c r="A110" s="162" t="s">
        <v>60</v>
      </c>
      <c r="B110" s="90">
        <f t="shared" si="13"/>
        <v>155483.28123102002</v>
      </c>
      <c r="D110" s="7" t="str">
        <f>A52</f>
        <v>Finance Costs</v>
      </c>
      <c r="E110" s="55">
        <f>G52*-1</f>
        <v>34603.03487092</v>
      </c>
      <c r="F110" s="55"/>
      <c r="G110" s="7" t="s">
        <v>62</v>
      </c>
    </row>
    <row r="111" spans="2:7" ht="12.75" hidden="1">
      <c r="B111" s="7"/>
      <c r="D111" s="7" t="str">
        <f>A61</f>
        <v>Cheques payable</v>
      </c>
      <c r="E111" s="55">
        <f>G61</f>
        <v>45606.554261000005</v>
      </c>
      <c r="F111" s="55"/>
      <c r="G111" s="7" t="s">
        <v>70</v>
      </c>
    </row>
    <row r="112" spans="1:7" ht="12.75" hidden="1">
      <c r="A112" s="165" t="s">
        <v>83</v>
      </c>
      <c r="B112" s="65">
        <f>C88</f>
        <v>-35392.35594003998</v>
      </c>
      <c r="C112" s="35"/>
      <c r="D112" s="7" t="str">
        <f>A63</f>
        <v>Deductions unpaid and unclaimed</v>
      </c>
      <c r="E112" s="55">
        <f>G63</f>
        <v>0</v>
      </c>
      <c r="F112" s="55"/>
      <c r="G112" s="7" t="s">
        <v>71</v>
      </c>
    </row>
    <row r="113" spans="1:7" ht="12.75" hidden="1">
      <c r="A113" s="165" t="s">
        <v>85</v>
      </c>
      <c r="B113" s="65">
        <f>D88</f>
        <v>-151361.96919268995</v>
      </c>
      <c r="D113" s="7" t="str">
        <f>A64</f>
        <v>Return cheques and advances payment</v>
      </c>
      <c r="E113" s="55">
        <f>G64</f>
        <v>0</v>
      </c>
      <c r="F113" s="55"/>
      <c r="G113" s="7" t="s">
        <v>72</v>
      </c>
    </row>
    <row r="114" spans="1:7" ht="12.75" hidden="1">
      <c r="A114" s="165" t="s">
        <v>84</v>
      </c>
      <c r="B114" s="65">
        <f>E88</f>
        <v>11797.931054379966</v>
      </c>
      <c r="D114" s="7" t="str">
        <f>A65</f>
        <v>Subsidies</v>
      </c>
      <c r="E114" s="55">
        <f>G65</f>
        <v>0</v>
      </c>
      <c r="F114" s="55"/>
      <c r="G114" s="7" t="s">
        <v>73</v>
      </c>
    </row>
    <row r="115" ht="0.75" customHeight="1" hidden="1"/>
    <row r="116" ht="12.75" hidden="1"/>
    <row r="117" spans="4:7" ht="12.75" hidden="1">
      <c r="D117" t="s">
        <v>91</v>
      </c>
      <c r="G117"/>
    </row>
    <row r="118" spans="4:7" ht="12.75" hidden="1">
      <c r="D118" t="s">
        <v>83</v>
      </c>
      <c r="E118">
        <v>32511</v>
      </c>
      <c r="G118" t="s">
        <v>98</v>
      </c>
    </row>
    <row r="119" spans="4:7" ht="12.75" hidden="1">
      <c r="D119" t="s">
        <v>85</v>
      </c>
      <c r="E119">
        <v>35661</v>
      </c>
      <c r="G119" t="s">
        <v>99</v>
      </c>
    </row>
    <row r="120" spans="4:7" ht="12.75" hidden="1">
      <c r="D120" t="s">
        <v>84</v>
      </c>
      <c r="E120">
        <v>48455</v>
      </c>
      <c r="G120" t="s">
        <v>100</v>
      </c>
    </row>
    <row r="121" ht="12.75" hidden="1"/>
    <row r="122" ht="12.75" hidden="1">
      <c r="D122" t="s">
        <v>92</v>
      </c>
    </row>
    <row r="123" spans="4:7" ht="12.75" hidden="1">
      <c r="D123" t="s">
        <v>87</v>
      </c>
      <c r="E123">
        <v>1007</v>
      </c>
      <c r="G123" t="s">
        <v>98</v>
      </c>
    </row>
    <row r="124" spans="4:7" ht="12.75" hidden="1">
      <c r="D124" t="s">
        <v>93</v>
      </c>
      <c r="E124">
        <v>950</v>
      </c>
      <c r="G124" t="s">
        <v>99</v>
      </c>
    </row>
    <row r="125" spans="4:7" ht="12.75" hidden="1">
      <c r="D125" t="s">
        <v>94</v>
      </c>
      <c r="E125">
        <v>284</v>
      </c>
      <c r="G125" t="s">
        <v>100</v>
      </c>
    </row>
    <row r="128" ht="12.75">
      <c r="B128" t="s">
        <v>169</v>
      </c>
    </row>
    <row r="130" spans="1:201" ht="18">
      <c r="A130" s="249" t="s">
        <v>146</v>
      </c>
      <c r="B130" s="249"/>
      <c r="C130" s="249"/>
      <c r="D130" s="249"/>
      <c r="E130" s="249"/>
      <c r="F130" s="249"/>
      <c r="G130" s="249"/>
      <c r="H130" s="249"/>
      <c r="I130" s="249"/>
      <c r="J130" s="249"/>
      <c r="K130" s="249"/>
      <c r="L130" s="249"/>
      <c r="M130" s="249"/>
      <c r="N130" s="249"/>
      <c r="O130" s="249"/>
      <c r="P130" s="249"/>
      <c r="Q130" s="249"/>
      <c r="R130" s="249"/>
      <c r="S130" s="249"/>
      <c r="T130" s="249"/>
      <c r="U130" s="249"/>
      <c r="V130" s="249"/>
      <c r="W130" s="249"/>
      <c r="X130" s="249"/>
      <c r="Y130" s="249"/>
      <c r="Z130" s="249"/>
      <c r="AA130" s="249"/>
      <c r="AB130" s="249"/>
      <c r="AC130" s="249"/>
      <c r="AD130" s="249"/>
      <c r="AE130" s="249"/>
      <c r="AF130" s="249"/>
      <c r="AG130" s="249"/>
      <c r="AH130" s="249"/>
      <c r="AI130" s="249"/>
      <c r="AJ130" s="249"/>
      <c r="AK130" s="249"/>
      <c r="AL130" s="249"/>
      <c r="AM130" s="249"/>
      <c r="AN130" s="249"/>
      <c r="AO130" s="249"/>
      <c r="AP130" s="249"/>
      <c r="AQ130" s="249"/>
      <c r="AR130" s="249"/>
      <c r="AS130" s="249"/>
      <c r="AT130" s="249"/>
      <c r="AU130" s="249"/>
      <c r="AV130" s="249"/>
      <c r="AW130" s="249"/>
      <c r="AX130" s="249"/>
      <c r="AY130" s="249"/>
      <c r="AZ130" s="249"/>
      <c r="BA130" s="249"/>
      <c r="BB130" s="249"/>
      <c r="BC130" s="249"/>
      <c r="BD130" s="249"/>
      <c r="BE130" s="249"/>
      <c r="BF130" s="249"/>
      <c r="BG130" s="249"/>
      <c r="BH130" s="249"/>
      <c r="BI130" s="249"/>
      <c r="BJ130" s="249"/>
      <c r="BK130" s="249"/>
      <c r="BL130" s="249"/>
      <c r="BM130" s="249"/>
      <c r="BN130" s="249"/>
      <c r="BO130" s="249"/>
      <c r="BP130" s="249"/>
      <c r="BQ130" s="249"/>
      <c r="BR130" s="249"/>
      <c r="BS130" s="249"/>
      <c r="BT130" s="249"/>
      <c r="BU130" s="249"/>
      <c r="BV130" s="249"/>
      <c r="BW130" s="249"/>
      <c r="BX130" s="249"/>
      <c r="BY130" s="249"/>
      <c r="BZ130" s="249"/>
      <c r="CA130" s="249"/>
      <c r="CB130" s="249"/>
      <c r="CC130" s="249"/>
      <c r="CD130" s="249"/>
      <c r="CE130" s="249"/>
      <c r="CF130" s="249"/>
      <c r="CG130" s="249"/>
      <c r="CH130" s="249"/>
      <c r="CI130" s="249"/>
      <c r="CJ130" s="249"/>
      <c r="CK130" s="249"/>
      <c r="CL130" s="249"/>
      <c r="CM130" s="249"/>
      <c r="CN130" s="249"/>
      <c r="CO130" s="249"/>
      <c r="CP130" s="249"/>
      <c r="CQ130" s="249"/>
      <c r="CR130" s="249"/>
      <c r="CS130" s="249"/>
      <c r="CT130" s="249"/>
      <c r="CU130" s="249"/>
      <c r="CV130" s="249"/>
      <c r="CW130" s="249"/>
      <c r="CX130" s="249"/>
      <c r="CY130" s="249"/>
      <c r="CZ130" s="249"/>
      <c r="DA130" s="249"/>
      <c r="DB130" s="249"/>
      <c r="DC130" s="249"/>
      <c r="DD130" s="249"/>
      <c r="DE130" s="249"/>
      <c r="DF130" s="249"/>
      <c r="DG130" s="249"/>
      <c r="DH130" s="249"/>
      <c r="DI130" s="249"/>
      <c r="DJ130" s="249"/>
      <c r="DK130" s="249"/>
      <c r="DL130" s="249"/>
      <c r="DM130" s="249"/>
      <c r="DN130" s="249"/>
      <c r="DO130" s="249"/>
      <c r="DP130" s="249"/>
      <c r="DQ130" s="249"/>
      <c r="DR130" s="249"/>
      <c r="DS130" s="249"/>
      <c r="DT130" s="249"/>
      <c r="DU130" s="249"/>
      <c r="DV130" s="249"/>
      <c r="DW130" s="249"/>
      <c r="DX130" s="249"/>
      <c r="DY130" s="249"/>
      <c r="DZ130" s="249"/>
      <c r="EA130" s="249"/>
      <c r="EB130" s="249"/>
      <c r="EC130" s="249"/>
      <c r="ED130" s="249"/>
      <c r="EE130" s="249"/>
      <c r="EF130" s="249"/>
      <c r="EG130" s="249"/>
      <c r="EH130" s="249"/>
      <c r="EI130" s="249"/>
      <c r="EJ130" s="249"/>
      <c r="EK130" s="249"/>
      <c r="EL130" s="249"/>
      <c r="EM130" s="249"/>
      <c r="EN130" s="249"/>
      <c r="EO130" s="249"/>
      <c r="EP130" s="249"/>
      <c r="EQ130" s="249"/>
      <c r="ER130" s="249"/>
      <c r="ES130" s="249"/>
      <c r="ET130" s="249"/>
      <c r="EU130" s="249"/>
      <c r="EV130" s="249"/>
      <c r="EW130" s="249"/>
      <c r="EX130" s="249"/>
      <c r="EY130" s="249"/>
      <c r="EZ130" s="249"/>
      <c r="FA130" s="249"/>
      <c r="FB130" s="249"/>
      <c r="FC130" s="249"/>
      <c r="FD130" s="249"/>
      <c r="FE130" s="249"/>
      <c r="FF130" s="249"/>
      <c r="FG130" s="249"/>
      <c r="FH130" s="249"/>
      <c r="FI130" s="249"/>
      <c r="FJ130" s="249"/>
      <c r="FK130" s="249"/>
      <c r="FL130" s="249"/>
      <c r="FM130" s="249"/>
      <c r="FN130" s="249"/>
      <c r="FO130" s="249"/>
      <c r="FP130" s="249"/>
      <c r="FQ130" s="249"/>
      <c r="FR130" s="249"/>
      <c r="FS130" s="249"/>
      <c r="FT130" s="249"/>
      <c r="FU130" s="249"/>
      <c r="FV130" s="249"/>
      <c r="FW130" s="249"/>
      <c r="FX130" s="249"/>
      <c r="FY130" s="249"/>
      <c r="FZ130" s="249"/>
      <c r="GA130" s="249"/>
      <c r="GB130" s="249"/>
      <c r="GC130" s="249"/>
      <c r="GD130" s="249"/>
      <c r="GE130" s="249"/>
      <c r="GF130" s="249"/>
      <c r="GG130" s="249"/>
      <c r="GH130" s="249"/>
      <c r="GI130" s="249"/>
      <c r="GJ130" s="249"/>
      <c r="GK130" s="249"/>
      <c r="GL130" s="249"/>
      <c r="GM130" s="249"/>
      <c r="GN130" s="249"/>
      <c r="GO130" s="249"/>
      <c r="GP130" s="249"/>
      <c r="GQ130" s="249"/>
      <c r="GR130" s="249"/>
      <c r="GS130" s="249"/>
    </row>
    <row r="131" spans="1:7" ht="12.75">
      <c r="A131"/>
      <c r="G131"/>
    </row>
    <row r="132" spans="1:201" ht="18">
      <c r="A132" s="257" t="s">
        <v>170</v>
      </c>
      <c r="B132" s="257"/>
      <c r="D132" s="257"/>
      <c r="E132" s="257"/>
      <c r="F132" s="257"/>
      <c r="G132" s="257"/>
      <c r="H132" s="257"/>
      <c r="I132" s="257"/>
      <c r="J132" s="257"/>
      <c r="K132" s="257"/>
      <c r="L132" s="257"/>
      <c r="M132" s="257"/>
      <c r="N132" s="257"/>
      <c r="O132" s="257"/>
      <c r="P132" s="257"/>
      <c r="Q132" s="257"/>
      <c r="R132" s="257"/>
      <c r="S132" s="257"/>
      <c r="T132" s="257"/>
      <c r="U132" s="257"/>
      <c r="V132" s="257"/>
      <c r="W132" s="257"/>
      <c r="X132" s="257"/>
      <c r="Y132" s="257"/>
      <c r="Z132" s="257"/>
      <c r="AA132" s="257"/>
      <c r="AB132" s="257"/>
      <c r="AC132" s="257"/>
      <c r="AD132" s="257"/>
      <c r="AE132" s="257"/>
      <c r="AF132" s="257"/>
      <c r="AG132" s="257"/>
      <c r="AH132" s="257"/>
      <c r="AI132" s="257"/>
      <c r="AJ132" s="257"/>
      <c r="AK132" s="257"/>
      <c r="AL132" s="257"/>
      <c r="AM132" s="257"/>
      <c r="AN132" s="257"/>
      <c r="AO132" s="257"/>
      <c r="AP132" s="257"/>
      <c r="AQ132" s="257"/>
      <c r="AR132" s="257"/>
      <c r="AS132" s="257"/>
      <c r="AT132" s="257"/>
      <c r="AU132" s="257"/>
      <c r="AV132" s="257"/>
      <c r="AW132" s="257"/>
      <c r="AX132" s="257"/>
      <c r="AY132" s="257"/>
      <c r="AZ132" s="257"/>
      <c r="BA132" s="257"/>
      <c r="BB132" s="257"/>
      <c r="BC132" s="257"/>
      <c r="BD132" s="257"/>
      <c r="BE132" s="257"/>
      <c r="BF132" s="257"/>
      <c r="BG132" s="257"/>
      <c r="BH132" s="257"/>
      <c r="BI132" s="257"/>
      <c r="BJ132" s="257"/>
      <c r="BK132" s="257"/>
      <c r="BL132" s="257"/>
      <c r="BM132" s="257"/>
      <c r="BN132" s="257"/>
      <c r="BO132" s="257"/>
      <c r="BP132" s="257"/>
      <c r="BQ132" s="257"/>
      <c r="BR132" s="257"/>
      <c r="BS132" s="257"/>
      <c r="BT132" s="257"/>
      <c r="BU132" s="257"/>
      <c r="BV132" s="257"/>
      <c r="BW132" s="257"/>
      <c r="BX132" s="257"/>
      <c r="BY132" s="257"/>
      <c r="BZ132" s="257"/>
      <c r="CA132" s="257"/>
      <c r="CB132" s="257"/>
      <c r="CC132" s="257"/>
      <c r="CD132" s="257"/>
      <c r="CE132" s="257"/>
      <c r="CF132" s="257"/>
      <c r="CG132" s="257"/>
      <c r="CH132" s="257"/>
      <c r="CI132" s="257"/>
      <c r="CJ132" s="257"/>
      <c r="CK132" s="257"/>
      <c r="CL132" s="257"/>
      <c r="CM132" s="257"/>
      <c r="CN132" s="257"/>
      <c r="CO132" s="257"/>
      <c r="CP132" s="257"/>
      <c r="CQ132" s="257"/>
      <c r="CR132" s="257"/>
      <c r="CS132" s="257"/>
      <c r="CT132" s="257"/>
      <c r="CU132" s="257"/>
      <c r="CV132" s="257"/>
      <c r="CW132" s="257"/>
      <c r="CX132" s="257"/>
      <c r="CY132" s="257"/>
      <c r="CZ132" s="257"/>
      <c r="DA132" s="257"/>
      <c r="DB132" s="257"/>
      <c r="DC132" s="257"/>
      <c r="DD132" s="257"/>
      <c r="DE132" s="257"/>
      <c r="DF132" s="257"/>
      <c r="DG132" s="257"/>
      <c r="DH132" s="257"/>
      <c r="DI132" s="257"/>
      <c r="DJ132" s="257"/>
      <c r="DK132" s="257"/>
      <c r="DL132" s="257"/>
      <c r="DM132" s="257"/>
      <c r="DN132" s="257"/>
      <c r="DO132" s="257"/>
      <c r="DP132" s="257"/>
      <c r="DQ132" s="257"/>
      <c r="DR132" s="257"/>
      <c r="DS132" s="257"/>
      <c r="DT132" s="257"/>
      <c r="DU132" s="257"/>
      <c r="DV132" s="257"/>
      <c r="DW132" s="257"/>
      <c r="DX132" s="257"/>
      <c r="DY132" s="257"/>
      <c r="DZ132" s="257"/>
      <c r="EA132" s="257"/>
      <c r="EB132" s="257"/>
      <c r="EC132" s="257"/>
      <c r="ED132" s="257"/>
      <c r="EE132" s="257"/>
      <c r="EF132" s="257"/>
      <c r="EG132" s="257"/>
      <c r="EH132" s="257"/>
      <c r="EI132" s="257"/>
      <c r="EJ132" s="257"/>
      <c r="EK132" s="257"/>
      <c r="EL132" s="257"/>
      <c r="EM132" s="257"/>
      <c r="EN132" s="257"/>
      <c r="EO132" s="257"/>
      <c r="EP132" s="257"/>
      <c r="EQ132" s="257"/>
      <c r="ER132" s="257"/>
      <c r="ES132" s="257"/>
      <c r="ET132" s="257"/>
      <c r="EU132" s="257"/>
      <c r="EV132" s="257"/>
      <c r="EW132" s="257"/>
      <c r="EX132" s="257"/>
      <c r="EY132" s="257"/>
      <c r="EZ132" s="257"/>
      <c r="FA132" s="257"/>
      <c r="FB132" s="257"/>
      <c r="FC132" s="257"/>
      <c r="FD132" s="257"/>
      <c r="FE132" s="257"/>
      <c r="FF132" s="257"/>
      <c r="FG132" s="257"/>
      <c r="FH132" s="257"/>
      <c r="FI132" s="257"/>
      <c r="FJ132" s="257"/>
      <c r="FK132" s="257"/>
      <c r="FL132" s="257"/>
      <c r="FM132" s="257"/>
      <c r="FN132" s="257"/>
      <c r="FO132" s="257"/>
      <c r="FP132" s="257"/>
      <c r="FQ132" s="257"/>
      <c r="FR132" s="257"/>
      <c r="FS132" s="257"/>
      <c r="FT132" s="257"/>
      <c r="FU132" s="257"/>
      <c r="FV132" s="257"/>
      <c r="FW132" s="257"/>
      <c r="FX132" s="257"/>
      <c r="FY132" s="257"/>
      <c r="FZ132" s="257"/>
      <c r="GA132" s="257"/>
      <c r="GB132" s="257"/>
      <c r="GC132" s="257"/>
      <c r="GD132" s="257"/>
      <c r="GE132" s="257"/>
      <c r="GF132" s="257"/>
      <c r="GG132" s="257"/>
      <c r="GH132" s="257"/>
      <c r="GI132" s="257"/>
      <c r="GJ132" s="257"/>
      <c r="GK132" s="257"/>
      <c r="GL132" s="257"/>
      <c r="GM132" s="257"/>
      <c r="GN132" s="257"/>
      <c r="GO132" s="257"/>
      <c r="GP132" s="257"/>
      <c r="GQ132" s="257"/>
      <c r="GR132" s="257"/>
      <c r="GS132" s="257"/>
    </row>
    <row r="133" spans="1:201" ht="18">
      <c r="A133" s="257" t="s">
        <v>174</v>
      </c>
      <c r="B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257"/>
      <c r="N133" s="257"/>
      <c r="O133" s="257"/>
      <c r="P133" s="257"/>
      <c r="Q133" s="257"/>
      <c r="R133" s="257"/>
      <c r="S133" s="257"/>
      <c r="T133" s="257"/>
      <c r="U133" s="257"/>
      <c r="V133" s="257"/>
      <c r="W133" s="257"/>
      <c r="X133" s="257"/>
      <c r="Y133" s="257"/>
      <c r="Z133" s="257"/>
      <c r="AA133" s="257"/>
      <c r="AB133" s="257"/>
      <c r="AC133" s="257"/>
      <c r="AD133" s="257"/>
      <c r="AE133" s="257"/>
      <c r="AF133" s="257"/>
      <c r="AG133" s="257"/>
      <c r="AH133" s="257"/>
      <c r="AI133" s="257"/>
      <c r="AJ133" s="257"/>
      <c r="AK133" s="257"/>
      <c r="AL133" s="257"/>
      <c r="AM133" s="257"/>
      <c r="AN133" s="257"/>
      <c r="AO133" s="257"/>
      <c r="AP133" s="257"/>
      <c r="AQ133" s="257"/>
      <c r="AR133" s="257"/>
      <c r="AS133" s="257"/>
      <c r="AT133" s="257"/>
      <c r="AU133" s="257"/>
      <c r="AV133" s="257"/>
      <c r="AW133" s="257"/>
      <c r="AX133" s="257"/>
      <c r="AY133" s="257"/>
      <c r="AZ133" s="257"/>
      <c r="BA133" s="257"/>
      <c r="BB133" s="257"/>
      <c r="BC133" s="257"/>
      <c r="BD133" s="257"/>
      <c r="BE133" s="257"/>
      <c r="BF133" s="257"/>
      <c r="BG133" s="257"/>
      <c r="BH133" s="257"/>
      <c r="BI133" s="257"/>
      <c r="BJ133" s="257"/>
      <c r="BK133" s="257"/>
      <c r="BL133" s="257"/>
      <c r="BM133" s="257"/>
      <c r="BN133" s="257"/>
      <c r="BO133" s="257"/>
      <c r="BP133" s="257"/>
      <c r="BQ133" s="257"/>
      <c r="BR133" s="257"/>
      <c r="BS133" s="257"/>
      <c r="BT133" s="257"/>
      <c r="BU133" s="257"/>
      <c r="BV133" s="257"/>
      <c r="BW133" s="257"/>
      <c r="BX133" s="257"/>
      <c r="BY133" s="257"/>
      <c r="BZ133" s="257"/>
      <c r="CA133" s="257"/>
      <c r="CB133" s="257"/>
      <c r="CC133" s="257"/>
      <c r="CD133" s="257"/>
      <c r="CE133" s="257"/>
      <c r="CF133" s="257"/>
      <c r="CG133" s="257"/>
      <c r="CH133" s="257"/>
      <c r="CI133" s="257"/>
      <c r="CJ133" s="257"/>
      <c r="CK133" s="257"/>
      <c r="CL133" s="257"/>
      <c r="CM133" s="257"/>
      <c r="CN133" s="257"/>
      <c r="CO133" s="257"/>
      <c r="CP133" s="257"/>
      <c r="CQ133" s="257"/>
      <c r="CR133" s="257"/>
      <c r="CS133" s="257"/>
      <c r="CT133" s="257"/>
      <c r="CU133" s="257"/>
      <c r="CV133" s="257"/>
      <c r="CW133" s="257"/>
      <c r="CX133" s="257"/>
      <c r="CY133" s="257"/>
      <c r="CZ133" s="257"/>
      <c r="DA133" s="257"/>
      <c r="DB133" s="257"/>
      <c r="DC133" s="257"/>
      <c r="DD133" s="257"/>
      <c r="DE133" s="257"/>
      <c r="DF133" s="257"/>
      <c r="DG133" s="257"/>
      <c r="DH133" s="257"/>
      <c r="DI133" s="257"/>
      <c r="DJ133" s="257"/>
      <c r="DK133" s="257"/>
      <c r="DL133" s="257"/>
      <c r="DM133" s="257"/>
      <c r="DN133" s="257"/>
      <c r="DO133" s="257"/>
      <c r="DP133" s="257"/>
      <c r="DQ133" s="257"/>
      <c r="DR133" s="257"/>
      <c r="DS133" s="257"/>
      <c r="DT133" s="257"/>
      <c r="DU133" s="257"/>
      <c r="DV133" s="257"/>
      <c r="DW133" s="257"/>
      <c r="DX133" s="257"/>
      <c r="DY133" s="257"/>
      <c r="DZ133" s="257"/>
      <c r="EA133" s="257"/>
      <c r="EB133" s="257"/>
      <c r="EC133" s="257"/>
      <c r="ED133" s="257"/>
      <c r="EE133" s="257"/>
      <c r="EF133" s="257"/>
      <c r="EG133" s="257"/>
      <c r="EH133" s="257"/>
      <c r="EI133" s="257"/>
      <c r="EJ133" s="257"/>
      <c r="EK133" s="257"/>
      <c r="EL133" s="257"/>
      <c r="EM133" s="257"/>
      <c r="EN133" s="257"/>
      <c r="EO133" s="257"/>
      <c r="EP133" s="257"/>
      <c r="EQ133" s="257"/>
      <c r="ER133" s="257"/>
      <c r="ES133" s="257"/>
      <c r="ET133" s="257"/>
      <c r="EU133" s="257"/>
      <c r="EV133" s="257"/>
      <c r="EW133" s="257"/>
      <c r="EX133" s="257"/>
      <c r="EY133" s="257"/>
      <c r="EZ133" s="257"/>
      <c r="FA133" s="257"/>
      <c r="FB133" s="257"/>
      <c r="FC133" s="257"/>
      <c r="FD133" s="257"/>
      <c r="FE133" s="257"/>
      <c r="FF133" s="257"/>
      <c r="FG133" s="257"/>
      <c r="FH133" s="257"/>
      <c r="FI133" s="257"/>
      <c r="FJ133" s="257"/>
      <c r="FK133" s="257"/>
      <c r="FL133" s="257"/>
      <c r="FM133" s="257"/>
      <c r="FN133" s="257"/>
      <c r="FO133" s="257"/>
      <c r="FP133" s="257"/>
      <c r="FQ133" s="257"/>
      <c r="FR133" s="257"/>
      <c r="FS133" s="257"/>
      <c r="FT133" s="257"/>
      <c r="FU133" s="257"/>
      <c r="FV133" s="257"/>
      <c r="FW133" s="257"/>
      <c r="FX133" s="257"/>
      <c r="FY133" s="257"/>
      <c r="FZ133" s="257"/>
      <c r="GA133" s="257"/>
      <c r="GB133" s="257"/>
      <c r="GC133" s="257"/>
      <c r="GD133" s="257"/>
      <c r="GE133" s="257"/>
      <c r="GF133" s="257"/>
      <c r="GG133" s="257"/>
      <c r="GH133" s="257"/>
      <c r="GI133" s="257"/>
      <c r="GJ133" s="257"/>
      <c r="GK133" s="257"/>
      <c r="GL133" s="257"/>
      <c r="GM133" s="257"/>
      <c r="GN133" s="257"/>
      <c r="GO133" s="257"/>
      <c r="GP133" s="257"/>
      <c r="GQ133" s="257"/>
      <c r="GR133" s="257"/>
      <c r="GS133" s="257"/>
    </row>
  </sheetData>
  <sheetProtection password="F4C8" sheet="1" formatCells="0" formatColumns="0" formatRows="0" insertColumns="0" insertRows="0" insertHyperlinks="0" deleteColumns="0" deleteRows="0" sort="0" autoFilter="0" pivotTables="0"/>
  <mergeCells count="8">
    <mergeCell ref="A3:I3"/>
    <mergeCell ref="A71:G71"/>
    <mergeCell ref="A5:G5"/>
    <mergeCell ref="A6:B6"/>
    <mergeCell ref="A34:G34"/>
    <mergeCell ref="A72:B72"/>
    <mergeCell ref="A35:B35"/>
    <mergeCell ref="G8:I8"/>
  </mergeCells>
  <printOptions/>
  <pageMargins left="0.44" right="0.48" top="1" bottom="1" header="0.5" footer="0.5"/>
  <pageSetup horizontalDpi="600" verticalDpi="600" orientation="portrait" scale="68" r:id="rId1"/>
  <rowBreaks count="2" manualBreakCount="2">
    <brk id="32" max="23" man="1"/>
    <brk id="70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8"/>
  <sheetViews>
    <sheetView zoomScalePageLayoutView="0" workbookViewId="0" topLeftCell="A10">
      <pane xSplit="1" topLeftCell="B1" activePane="topRight" state="frozen"/>
      <selection pane="topLeft" activeCell="A2" sqref="A2"/>
      <selection pane="topRight" activeCell="A87" sqref="A87"/>
    </sheetView>
  </sheetViews>
  <sheetFormatPr defaultColWidth="9.140625" defaultRowHeight="12.75"/>
  <cols>
    <col min="1" max="1" width="37.57421875" style="0" customWidth="1"/>
    <col min="2" max="2" width="14.7109375" style="0" hidden="1" customWidth="1"/>
    <col min="3" max="3" width="12.8515625" style="0" hidden="1" customWidth="1"/>
    <col min="4" max="4" width="11.57421875" style="0" hidden="1" customWidth="1"/>
    <col min="5" max="5" width="15.57421875" style="0" customWidth="1"/>
    <col min="6" max="6" width="11.57421875" style="0" bestFit="1" customWidth="1"/>
    <col min="7" max="8" width="12.8515625" style="0" bestFit="1" customWidth="1"/>
    <col min="9" max="9" width="12.00390625" style="0" customWidth="1"/>
    <col min="10" max="12" width="9.7109375" style="0" hidden="1" customWidth="1"/>
    <col min="13" max="13" width="15.7109375" style="0" customWidth="1"/>
    <col min="14" max="14" width="16.7109375" style="0" bestFit="1" customWidth="1"/>
    <col min="15" max="15" width="9.00390625" style="0" hidden="1" customWidth="1"/>
    <col min="16" max="17" width="8.140625" style="0" hidden="1" customWidth="1"/>
    <col min="18" max="18" width="35.140625" style="0" hidden="1" customWidth="1"/>
    <col min="19" max="19" width="9.00390625" style="0" hidden="1" customWidth="1"/>
    <col min="20" max="20" width="8.140625" style="0" hidden="1" customWidth="1"/>
    <col min="21" max="21" width="9.00390625" style="0" hidden="1" customWidth="1"/>
    <col min="22" max="22" width="11.00390625" style="0" hidden="1" customWidth="1"/>
    <col min="23" max="25" width="6.7109375" style="0" hidden="1" customWidth="1"/>
    <col min="26" max="26" width="15.8515625" style="0" hidden="1" customWidth="1"/>
    <col min="27" max="27" width="35.140625" style="0" hidden="1" customWidth="1"/>
    <col min="28" max="28" width="41.00390625" style="0" hidden="1" customWidth="1"/>
    <col min="29" max="31" width="9.00390625" style="0" hidden="1" customWidth="1"/>
    <col min="32" max="32" width="10.421875" style="0" hidden="1" customWidth="1"/>
    <col min="33" max="35" width="7.7109375" style="7" hidden="1" customWidth="1"/>
    <col min="36" max="36" width="16.140625" style="0" hidden="1" customWidth="1"/>
    <col min="37" max="39" width="7.7109375" style="7" hidden="1" customWidth="1"/>
    <col min="40" max="40" width="11.421875" style="0" hidden="1" customWidth="1"/>
    <col min="41" max="41" width="8.7109375" style="0" hidden="1" customWidth="1"/>
    <col min="42" max="42" width="13.8515625" style="0" hidden="1" customWidth="1"/>
    <col min="43" max="45" width="9.00390625" style="0" hidden="1" customWidth="1"/>
    <col min="46" max="46" width="10.421875" style="0" hidden="1" customWidth="1"/>
    <col min="47" max="48" width="6.8515625" style="0" hidden="1" customWidth="1"/>
    <col min="49" max="49" width="7.7109375" style="0" hidden="1" customWidth="1"/>
    <col min="50" max="50" width="22.421875" style="0" hidden="1" customWidth="1"/>
    <col min="51" max="52" width="6.00390625" style="0" hidden="1" customWidth="1"/>
    <col min="53" max="53" width="4.7109375" style="0" hidden="1" customWidth="1"/>
    <col min="54" max="54" width="12.7109375" style="0" hidden="1" customWidth="1"/>
    <col min="55" max="55" width="12.00390625" style="0" hidden="1" customWidth="1"/>
    <col min="56" max="56" width="16.421875" style="0" hidden="1" customWidth="1"/>
  </cols>
  <sheetData>
    <row r="1" spans="1:56" ht="16.5">
      <c r="A1" s="251" t="s">
        <v>0</v>
      </c>
      <c r="B1" s="251"/>
      <c r="C1" s="251"/>
      <c r="D1" s="251"/>
      <c r="E1" s="252"/>
      <c r="F1" s="252"/>
      <c r="G1" s="252"/>
      <c r="H1" s="252"/>
      <c r="I1" s="252"/>
      <c r="J1" s="252"/>
      <c r="K1" s="252"/>
      <c r="L1" s="252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</row>
    <row r="2" spans="1:56" ht="16.5">
      <c r="A2" s="356" t="s">
        <v>163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</row>
    <row r="3" spans="5:45" ht="12.75">
      <c r="E3" s="6"/>
      <c r="F3" s="6"/>
      <c r="G3" s="6"/>
      <c r="H3" s="6"/>
      <c r="I3" s="6"/>
      <c r="J3" s="6"/>
      <c r="K3" s="6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J3" s="7"/>
      <c r="AN3" s="7"/>
      <c r="AO3" s="7"/>
      <c r="AP3" s="7"/>
      <c r="AQ3" s="7"/>
      <c r="AR3" s="7"/>
      <c r="AS3" s="7"/>
    </row>
    <row r="4" spans="1:45" ht="12.75">
      <c r="A4" s="6"/>
      <c r="B4" s="6"/>
      <c r="C4" s="6"/>
      <c r="D4" s="6"/>
      <c r="E4" s="226"/>
      <c r="F4" s="226"/>
      <c r="G4" s="226"/>
      <c r="H4" s="226"/>
      <c r="I4" s="226"/>
      <c r="J4" s="226"/>
      <c r="K4" s="226"/>
      <c r="L4" s="226"/>
      <c r="M4" s="25"/>
      <c r="N4" s="25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57"/>
      <c r="AC4" s="25"/>
      <c r="AD4" s="25"/>
      <c r="AE4" s="25"/>
      <c r="AF4" s="7"/>
      <c r="AJ4" s="7"/>
      <c r="AN4" s="7"/>
      <c r="AO4" s="7"/>
      <c r="AP4" s="57"/>
      <c r="AQ4" s="25"/>
      <c r="AR4" s="25"/>
      <c r="AS4" s="25"/>
    </row>
    <row r="5" spans="1:56" ht="26.25">
      <c r="A5" s="145"/>
      <c r="B5" s="56"/>
      <c r="C5" s="56"/>
      <c r="D5" s="56"/>
      <c r="E5" s="360">
        <v>2009</v>
      </c>
      <c r="F5" s="361"/>
      <c r="G5" s="361"/>
      <c r="H5" s="361"/>
      <c r="I5" s="361"/>
      <c r="J5" s="361"/>
      <c r="K5" s="361"/>
      <c r="L5" s="361"/>
      <c r="M5" s="362"/>
      <c r="N5" s="255"/>
      <c r="O5" s="22"/>
      <c r="P5" s="22"/>
      <c r="Q5" s="22"/>
      <c r="R5" s="357">
        <v>2009</v>
      </c>
      <c r="S5" s="358"/>
      <c r="T5" s="358"/>
      <c r="U5" s="358"/>
      <c r="V5" s="358"/>
      <c r="W5" s="358"/>
      <c r="X5" s="358"/>
      <c r="Y5" s="358"/>
      <c r="Z5" s="358"/>
      <c r="AA5" s="359"/>
      <c r="AB5" s="10"/>
      <c r="AC5" s="11">
        <v>2007</v>
      </c>
      <c r="AD5" s="11">
        <v>2007</v>
      </c>
      <c r="AE5" s="11">
        <v>2007</v>
      </c>
      <c r="AF5" s="11"/>
      <c r="AG5" s="11">
        <v>2007</v>
      </c>
      <c r="AH5" s="11">
        <v>2007</v>
      </c>
      <c r="AI5" s="11">
        <v>2007</v>
      </c>
      <c r="AJ5" s="124">
        <v>2009</v>
      </c>
      <c r="AK5" s="11">
        <v>2007</v>
      </c>
      <c r="AL5" s="11">
        <v>2007</v>
      </c>
      <c r="AM5" s="11">
        <v>2007</v>
      </c>
      <c r="AN5" s="11"/>
      <c r="AO5" s="11"/>
      <c r="AP5" s="10"/>
      <c r="AQ5" s="11"/>
      <c r="AR5" s="11"/>
      <c r="AS5" s="11"/>
      <c r="AT5" s="124"/>
      <c r="AU5" s="124"/>
      <c r="AV5" s="124"/>
      <c r="AW5" s="124"/>
      <c r="AX5" s="124">
        <v>2008</v>
      </c>
      <c r="AY5" s="124"/>
      <c r="AZ5" s="124"/>
      <c r="BA5" s="124"/>
      <c r="BB5" s="11"/>
      <c r="BC5" s="154"/>
      <c r="BD5" s="156"/>
    </row>
    <row r="6" spans="1:56" ht="23.25">
      <c r="A6" s="146"/>
      <c r="B6" s="25"/>
      <c r="C6" s="25"/>
      <c r="D6" s="25"/>
      <c r="E6" s="363" t="s">
        <v>112</v>
      </c>
      <c r="F6" s="364"/>
      <c r="G6" s="364"/>
      <c r="H6" s="364"/>
      <c r="I6" s="364"/>
      <c r="J6" s="364"/>
      <c r="K6" s="364"/>
      <c r="L6" s="364"/>
      <c r="M6" s="365"/>
      <c r="N6" s="256"/>
      <c r="O6" s="114"/>
      <c r="P6" s="114"/>
      <c r="Q6" s="114"/>
      <c r="R6" s="353" t="s">
        <v>117</v>
      </c>
      <c r="S6" s="354"/>
      <c r="T6" s="354"/>
      <c r="U6" s="354"/>
      <c r="V6" s="354"/>
      <c r="W6" s="354"/>
      <c r="X6" s="354"/>
      <c r="Y6" s="354"/>
      <c r="Z6" s="354"/>
      <c r="AA6" s="355"/>
      <c r="AB6" s="18"/>
      <c r="AC6" s="25"/>
      <c r="AD6" s="25"/>
      <c r="AE6" s="25"/>
      <c r="AF6" s="114"/>
      <c r="AG6" s="114"/>
      <c r="AH6" s="114"/>
      <c r="AI6" s="114"/>
      <c r="AJ6" s="126" t="s">
        <v>121</v>
      </c>
      <c r="AK6" s="114"/>
      <c r="AL6" s="114"/>
      <c r="AM6" s="114"/>
      <c r="AN6" s="114"/>
      <c r="AO6" s="114"/>
      <c r="AP6" s="18"/>
      <c r="AQ6" s="25"/>
      <c r="AR6" s="25"/>
      <c r="AS6" s="25"/>
      <c r="AT6" s="114"/>
      <c r="AU6" s="114"/>
      <c r="AV6" s="114"/>
      <c r="AW6" s="114"/>
      <c r="AX6" s="126" t="s">
        <v>135</v>
      </c>
      <c r="AY6" s="126"/>
      <c r="AZ6" s="126"/>
      <c r="BA6" s="126"/>
      <c r="BB6" s="114"/>
      <c r="BC6" s="155"/>
      <c r="BD6" s="157"/>
    </row>
    <row r="7" spans="1:56" ht="75" customHeight="1">
      <c r="A7" s="196"/>
      <c r="B7" s="227"/>
      <c r="C7" s="227"/>
      <c r="D7" s="227"/>
      <c r="E7" s="228" t="s">
        <v>113</v>
      </c>
      <c r="F7" s="229"/>
      <c r="G7" s="229"/>
      <c r="H7" s="229"/>
      <c r="I7" s="229" t="s">
        <v>114</v>
      </c>
      <c r="J7" s="229"/>
      <c r="K7" s="229"/>
      <c r="L7" s="229"/>
      <c r="M7" s="229" t="s">
        <v>115</v>
      </c>
      <c r="N7" s="230" t="s">
        <v>130</v>
      </c>
      <c r="O7" s="136"/>
      <c r="P7" s="136"/>
      <c r="Q7" s="136"/>
      <c r="R7" s="229" t="s">
        <v>118</v>
      </c>
      <c r="S7" s="58"/>
      <c r="T7" s="58"/>
      <c r="U7" s="58"/>
      <c r="V7" s="229" t="s">
        <v>119</v>
      </c>
      <c r="W7" s="58"/>
      <c r="X7" s="58"/>
      <c r="Y7" s="58"/>
      <c r="Z7" s="229" t="s">
        <v>120</v>
      </c>
      <c r="AA7" s="254" t="s">
        <v>129</v>
      </c>
      <c r="AB7" s="230" t="s">
        <v>104</v>
      </c>
      <c r="AC7" s="93"/>
      <c r="AD7" s="93"/>
      <c r="AE7" s="93"/>
      <c r="AF7" s="93" t="s">
        <v>122</v>
      </c>
      <c r="AG7" s="58"/>
      <c r="AH7" s="58"/>
      <c r="AI7" s="58"/>
      <c r="AJ7" s="93" t="s">
        <v>123</v>
      </c>
      <c r="AK7" s="58"/>
      <c r="AL7" s="58"/>
      <c r="AM7" s="58"/>
      <c r="AN7" s="93" t="s">
        <v>120</v>
      </c>
      <c r="AO7" s="119" t="s">
        <v>136</v>
      </c>
      <c r="AP7" s="161" t="s">
        <v>111</v>
      </c>
      <c r="AQ7" s="161"/>
      <c r="AR7" s="161"/>
      <c r="AS7" s="161"/>
      <c r="AT7" s="137" t="s">
        <v>122</v>
      </c>
      <c r="AU7" s="137"/>
      <c r="AV7" s="137"/>
      <c r="AW7" s="137"/>
      <c r="AX7" s="137" t="s">
        <v>123</v>
      </c>
      <c r="AY7" s="94"/>
      <c r="AZ7" s="94"/>
      <c r="BA7" s="94"/>
      <c r="BB7" s="94" t="s">
        <v>120</v>
      </c>
      <c r="BC7" s="153" t="s">
        <v>138</v>
      </c>
      <c r="BD7" s="94" t="s">
        <v>137</v>
      </c>
    </row>
    <row r="8" spans="1:56" ht="15.75">
      <c r="A8" s="188"/>
      <c r="B8" s="231"/>
      <c r="C8" s="231"/>
      <c r="D8" s="231"/>
      <c r="E8" s="232"/>
      <c r="F8" s="233" t="s">
        <v>41</v>
      </c>
      <c r="G8" s="233" t="s">
        <v>41</v>
      </c>
      <c r="H8" s="233" t="s">
        <v>41</v>
      </c>
      <c r="I8" s="233" t="s">
        <v>41</v>
      </c>
      <c r="J8" s="233" t="s">
        <v>41</v>
      </c>
      <c r="K8" s="233" t="s">
        <v>41</v>
      </c>
      <c r="L8" s="233" t="s">
        <v>41</v>
      </c>
      <c r="M8" s="233" t="s">
        <v>41</v>
      </c>
      <c r="N8" s="234" t="s">
        <v>41</v>
      </c>
      <c r="O8" s="114" t="s">
        <v>41</v>
      </c>
      <c r="P8" s="114" t="s">
        <v>41</v>
      </c>
      <c r="Q8" s="114" t="s">
        <v>41</v>
      </c>
      <c r="R8" s="234" t="s">
        <v>41</v>
      </c>
      <c r="S8" s="114" t="s">
        <v>41</v>
      </c>
      <c r="T8" s="114" t="s">
        <v>41</v>
      </c>
      <c r="U8" s="114" t="s">
        <v>41</v>
      </c>
      <c r="V8" s="234" t="s">
        <v>41</v>
      </c>
      <c r="W8" s="114" t="s">
        <v>41</v>
      </c>
      <c r="X8" s="114" t="s">
        <v>41</v>
      </c>
      <c r="Y8" s="114" t="s">
        <v>41</v>
      </c>
      <c r="Z8" s="234" t="s">
        <v>41</v>
      </c>
      <c r="AA8" s="234" t="s">
        <v>41</v>
      </c>
      <c r="AB8" s="234" t="s">
        <v>41</v>
      </c>
      <c r="AC8" s="22"/>
      <c r="AD8" s="22"/>
      <c r="AE8" s="22"/>
      <c r="AF8" s="141" t="s">
        <v>41</v>
      </c>
      <c r="AJ8" s="113" t="s">
        <v>41</v>
      </c>
      <c r="AK8" s="113" t="s">
        <v>41</v>
      </c>
      <c r="AL8" s="113" t="s">
        <v>41</v>
      </c>
      <c r="AM8" s="113" t="s">
        <v>41</v>
      </c>
      <c r="AN8" s="113" t="s">
        <v>41</v>
      </c>
      <c r="AO8" s="114" t="s">
        <v>41</v>
      </c>
      <c r="AP8" s="141" t="s">
        <v>41</v>
      </c>
      <c r="AQ8" s="141"/>
      <c r="AR8" s="141"/>
      <c r="AS8" s="141"/>
      <c r="AT8" s="141" t="s">
        <v>41</v>
      </c>
      <c r="AU8" s="141" t="s">
        <v>164</v>
      </c>
      <c r="AV8" s="141" t="s">
        <v>165</v>
      </c>
      <c r="AW8" s="141" t="s">
        <v>166</v>
      </c>
      <c r="AX8" s="141" t="s">
        <v>41</v>
      </c>
      <c r="AY8" s="141"/>
      <c r="AZ8" s="141"/>
      <c r="BA8" s="141"/>
      <c r="BB8" s="141" t="s">
        <v>41</v>
      </c>
      <c r="BC8" s="141" t="s">
        <v>41</v>
      </c>
      <c r="BD8" s="141"/>
    </row>
    <row r="9" spans="1:56" ht="15.75">
      <c r="A9" s="235" t="s">
        <v>3</v>
      </c>
      <c r="B9" s="170"/>
      <c r="C9" s="170"/>
      <c r="D9" s="170"/>
      <c r="E9" s="236"/>
      <c r="F9" s="221"/>
      <c r="G9" s="221"/>
      <c r="H9" s="221"/>
      <c r="I9" s="221"/>
      <c r="J9" s="221"/>
      <c r="K9" s="221"/>
      <c r="L9" s="221"/>
      <c r="M9" s="189"/>
      <c r="N9" s="187"/>
      <c r="O9" s="7"/>
      <c r="P9" s="7"/>
      <c r="Q9" s="7"/>
      <c r="R9" s="253"/>
      <c r="S9" s="25"/>
      <c r="T9" s="25"/>
      <c r="U9" s="25"/>
      <c r="V9" s="44"/>
      <c r="W9" s="25"/>
      <c r="X9" s="25"/>
      <c r="Y9" s="25"/>
      <c r="Z9" s="25"/>
      <c r="AA9" s="18"/>
      <c r="AB9" s="18"/>
      <c r="AC9" s="25"/>
      <c r="AD9" s="25"/>
      <c r="AE9" s="25"/>
      <c r="AF9" s="9"/>
      <c r="AJ9" s="44"/>
      <c r="AN9" s="44"/>
      <c r="AO9" s="146"/>
      <c r="AP9" s="9"/>
      <c r="AQ9" s="18"/>
      <c r="AR9" s="18"/>
      <c r="AS9" s="18"/>
      <c r="AT9" s="83"/>
      <c r="AU9" s="83"/>
      <c r="AV9" s="83"/>
      <c r="AW9" s="83"/>
      <c r="AX9" s="83"/>
      <c r="AY9" s="83"/>
      <c r="AZ9" s="83"/>
      <c r="BA9" s="83"/>
      <c r="BB9" s="83"/>
      <c r="BC9" s="127"/>
      <c r="BD9" s="156"/>
    </row>
    <row r="10" spans="1:56" ht="15">
      <c r="A10" s="237" t="s">
        <v>4</v>
      </c>
      <c r="B10" s="238"/>
      <c r="C10" s="238"/>
      <c r="D10" s="238"/>
      <c r="E10" s="239"/>
      <c r="F10" s="240"/>
      <c r="G10" s="240"/>
      <c r="H10" s="240"/>
      <c r="I10" s="240"/>
      <c r="J10" s="240"/>
      <c r="K10" s="240"/>
      <c r="L10" s="240"/>
      <c r="M10" s="189"/>
      <c r="N10" s="187"/>
      <c r="O10" s="7"/>
      <c r="P10" s="7"/>
      <c r="Q10" s="7"/>
      <c r="R10" s="44"/>
      <c r="S10" s="25"/>
      <c r="T10" s="25"/>
      <c r="U10" s="25"/>
      <c r="V10" s="44"/>
      <c r="W10" s="25"/>
      <c r="X10" s="25"/>
      <c r="Y10" s="25"/>
      <c r="Z10" s="25"/>
      <c r="AA10" s="18"/>
      <c r="AB10" s="18"/>
      <c r="AC10" s="25"/>
      <c r="AD10" s="25"/>
      <c r="AE10" s="25"/>
      <c r="AF10" s="18"/>
      <c r="AJ10" s="44"/>
      <c r="AN10" s="44"/>
      <c r="AO10" s="146"/>
      <c r="AP10" s="18"/>
      <c r="AQ10" s="18"/>
      <c r="AR10" s="18"/>
      <c r="AS10" s="18"/>
      <c r="AT10" s="83"/>
      <c r="AU10" s="83"/>
      <c r="AV10" s="83"/>
      <c r="AW10" s="83"/>
      <c r="AX10" s="83"/>
      <c r="AY10" s="83"/>
      <c r="AZ10" s="83"/>
      <c r="BA10" s="83"/>
      <c r="BB10" s="83"/>
      <c r="BC10" s="127"/>
      <c r="BD10" s="83"/>
    </row>
    <row r="11" spans="1:56" ht="15">
      <c r="A11" s="187"/>
      <c r="B11" s="169"/>
      <c r="C11" s="169"/>
      <c r="D11" s="169"/>
      <c r="E11" s="188"/>
      <c r="F11" s="189"/>
      <c r="G11" s="189"/>
      <c r="H11" s="189"/>
      <c r="I11" s="189"/>
      <c r="J11" s="189"/>
      <c r="K11" s="189"/>
      <c r="L11" s="189"/>
      <c r="M11" s="189"/>
      <c r="N11" s="187"/>
      <c r="O11" s="7"/>
      <c r="P11" s="7"/>
      <c r="Q11" s="7"/>
      <c r="R11" s="44"/>
      <c r="S11" s="25"/>
      <c r="T11" s="25"/>
      <c r="U11" s="25"/>
      <c r="V11" s="44"/>
      <c r="W11" s="25"/>
      <c r="X11" s="25"/>
      <c r="Y11" s="25"/>
      <c r="Z11" s="25"/>
      <c r="AA11" s="18"/>
      <c r="AB11" s="18"/>
      <c r="AC11" s="25"/>
      <c r="AD11" s="25"/>
      <c r="AE11" s="25"/>
      <c r="AF11" s="18"/>
      <c r="AJ11" s="44"/>
      <c r="AN11" s="44"/>
      <c r="AO11" s="146"/>
      <c r="AP11" s="18"/>
      <c r="AQ11" s="18"/>
      <c r="AR11" s="18"/>
      <c r="AS11" s="18"/>
      <c r="AT11" s="83"/>
      <c r="AU11" s="83"/>
      <c r="AV11" s="83"/>
      <c r="AW11" s="83"/>
      <c r="AX11" s="83"/>
      <c r="AY11" s="83"/>
      <c r="AZ11" s="83"/>
      <c r="BA11" s="83"/>
      <c r="BB11" s="83"/>
      <c r="BC11" s="127"/>
      <c r="BD11" s="83"/>
    </row>
    <row r="12" spans="1:56" ht="15">
      <c r="A12" s="187" t="s">
        <v>6</v>
      </c>
      <c r="B12" s="241">
        <f>'[1]Sheet1'!$B$29</f>
        <v>0</v>
      </c>
      <c r="C12" s="241">
        <f>'[1]Sheet1'!$C$29</f>
        <v>0</v>
      </c>
      <c r="D12" s="241">
        <f>'[1]Sheet1'!$D$29</f>
        <v>0</v>
      </c>
      <c r="E12" s="242">
        <f>SUM(B12:D12)*-1</f>
        <v>0</v>
      </c>
      <c r="F12" s="242">
        <f>'[1]Sheet1'!$B$30</f>
        <v>0</v>
      </c>
      <c r="G12" s="242">
        <f>'[1]Sheet1'!$C$30+'[4]Sheet1'!$C$14</f>
        <v>0</v>
      </c>
      <c r="H12" s="242">
        <f>'[1]Sheet1'!$D$30+'[4]Sheet1'!$D$14</f>
        <v>0</v>
      </c>
      <c r="I12" s="193">
        <f>SUM(F12:H12)*-1</f>
        <v>0</v>
      </c>
      <c r="J12" s="242">
        <f>'[1]Sheet1'!$B$31</f>
        <v>0</v>
      </c>
      <c r="K12" s="242">
        <f>'[1]Sheet1'!$C$31</f>
        <v>0</v>
      </c>
      <c r="L12" s="242">
        <f>'[1]Sheet1'!$D$31</f>
        <v>0</v>
      </c>
      <c r="M12" s="193">
        <f>SUM(J12:L12)*-1</f>
        <v>0</v>
      </c>
      <c r="N12" s="191">
        <f>E12+I12+M12</f>
        <v>0</v>
      </c>
      <c r="O12" s="64">
        <f>'[1]Sheet1'!$F$30</f>
        <v>0</v>
      </c>
      <c r="P12" s="64">
        <f>'[1]Sheet1'!$G$30</f>
        <v>0</v>
      </c>
      <c r="Q12" s="120">
        <f>'[1]Sheet1'!$H$30</f>
        <v>0</v>
      </c>
      <c r="R12" s="191">
        <f>SUM(O12:Q12)*-1</f>
        <v>0</v>
      </c>
      <c r="S12" s="67">
        <f>'[1]Sheet1'!$F$31+'[4]Sheet1'!$F$14</f>
        <v>0</v>
      </c>
      <c r="T12" s="67">
        <f>'[1]Sheet1'!$G$31+'[4]Sheet1'!$G$14</f>
        <v>0</v>
      </c>
      <c r="U12" s="67">
        <f>'[1]Sheet1'!$H$31+'[4]Sheet1'!$H$14</f>
        <v>0</v>
      </c>
      <c r="V12" s="191">
        <f>SUM(S12:U12)*-1</f>
        <v>0</v>
      </c>
      <c r="W12" s="67">
        <f>'[1]Sheet1'!$F$32</f>
        <v>0</v>
      </c>
      <c r="X12" s="67">
        <f>'[1]Sheet1'!$G$32</f>
        <v>0</v>
      </c>
      <c r="Y12" s="67">
        <f>'[1]Sheet1'!$H$32</f>
        <v>0</v>
      </c>
      <c r="Z12" s="191">
        <f>SUM(W12:Y12)*-1</f>
        <v>0</v>
      </c>
      <c r="AA12" s="191">
        <f>R12+V12+Z12</f>
        <v>0</v>
      </c>
      <c r="AB12" s="191">
        <f>AA12+N12</f>
        <v>0</v>
      </c>
      <c r="AC12" s="64" t="e">
        <f>'[5]Sheet1'!$B$30</f>
        <v>#REF!</v>
      </c>
      <c r="AD12" s="64" t="e">
        <f>'[5]Sheet1'!$C$30</f>
        <v>#REF!</v>
      </c>
      <c r="AE12" s="64" t="e">
        <f>'[5]Sheet1'!$D$30</f>
        <v>#REF!</v>
      </c>
      <c r="AF12" s="3" t="e">
        <f>SUM(AC12:AE12)*-1</f>
        <v>#REF!</v>
      </c>
      <c r="AG12" s="65" t="e">
        <f>'[5]Sheet1'!$B$31+'[6]Sheet1'!$B$14</f>
        <v>#REF!</v>
      </c>
      <c r="AH12" s="65" t="e">
        <f>'[5]Sheet1'!$C$31+'[6]Sheet1'!$C$14</f>
        <v>#REF!</v>
      </c>
      <c r="AI12" s="65" t="e">
        <f>'[5]Sheet1'!$D$31+'[6]Sheet1'!$D$14</f>
        <v>#REF!</v>
      </c>
      <c r="AJ12" s="3" t="e">
        <f>SUM(AG12:AI12)*-1</f>
        <v>#REF!</v>
      </c>
      <c r="AK12" s="65" t="e">
        <f>'[5]Sheet1'!$B$32</f>
        <v>#REF!</v>
      </c>
      <c r="AL12" s="65" t="e">
        <f>'[5]Sheet1'!$C$32</f>
        <v>#REF!</v>
      </c>
      <c r="AM12" s="65" t="e">
        <f>'[5]Sheet1'!$D$32</f>
        <v>#REF!</v>
      </c>
      <c r="AN12" s="3" t="e">
        <f>SUM(AK12:AM12)*-1</f>
        <v>#REF!</v>
      </c>
      <c r="AO12" s="159" t="e">
        <f>AN12+AJ12+AF12</f>
        <v>#REF!</v>
      </c>
      <c r="AP12" s="3" t="e">
        <f>AO12+AB12</f>
        <v>#REF!</v>
      </c>
      <c r="AQ12" s="64" t="e">
        <f>'[5]Sheet1'!$F$30</f>
        <v>#REF!</v>
      </c>
      <c r="AR12" s="64" t="e">
        <f>'[5]Sheet1'!$G$30</f>
        <v>#REF!</v>
      </c>
      <c r="AS12" s="64" t="e">
        <f>'[5]Sheet1'!$H$30</f>
        <v>#REF!</v>
      </c>
      <c r="AT12" s="3" t="e">
        <f>SUM(AQ12:AS12)*-1</f>
        <v>#REF!</v>
      </c>
      <c r="AU12" s="65" t="e">
        <f>'[5]Sheet1'!$F$31+'[6]Sheet1'!$F$14</f>
        <v>#REF!</v>
      </c>
      <c r="AV12" s="65" t="e">
        <f>'[5]Sheet1'!$G$31+'[6]Sheet1'!$G$14</f>
        <v>#REF!</v>
      </c>
      <c r="AW12" s="65" t="e">
        <f>'[5]Sheet1'!$H$31+'[6]Sheet1'!$H$14</f>
        <v>#REF!</v>
      </c>
      <c r="AX12" s="3" t="e">
        <f>SUM(AU12:AW12)*-1</f>
        <v>#REF!</v>
      </c>
      <c r="AY12" s="65" t="e">
        <f>'[5]Sheet1'!$F$32</f>
        <v>#REF!</v>
      </c>
      <c r="AZ12" s="65" t="e">
        <f>'[5]Sheet1'!$G$32</f>
        <v>#REF!</v>
      </c>
      <c r="BA12" s="65" t="e">
        <f>'[5]Sheet1'!$H$32</f>
        <v>#REF!</v>
      </c>
      <c r="BB12" s="3" t="e">
        <f>SUM(AY12:BA12)*-1</f>
        <v>#REF!</v>
      </c>
      <c r="BC12" s="159" t="e">
        <f>BB12+AX12+AT12</f>
        <v>#REF!</v>
      </c>
      <c r="BD12" s="3" t="e">
        <f>BC12+AO12+AA12+N12</f>
        <v>#REF!</v>
      </c>
    </row>
    <row r="13" spans="1:56" ht="15">
      <c r="A13" s="187"/>
      <c r="B13" s="169"/>
      <c r="C13" s="169"/>
      <c r="D13" s="169"/>
      <c r="E13" s="242"/>
      <c r="F13" s="242"/>
      <c r="G13" s="242"/>
      <c r="H13" s="242"/>
      <c r="I13" s="193"/>
      <c r="J13" s="242"/>
      <c r="K13" s="242"/>
      <c r="L13" s="242"/>
      <c r="M13" s="193"/>
      <c r="N13" s="191"/>
      <c r="O13" s="7"/>
      <c r="P13" s="7"/>
      <c r="Q13" s="25"/>
      <c r="R13" s="191"/>
      <c r="S13" s="67"/>
      <c r="T13" s="67"/>
      <c r="U13" s="67"/>
      <c r="V13" s="191"/>
      <c r="W13" s="67"/>
      <c r="X13" s="67"/>
      <c r="Y13" s="67"/>
      <c r="Z13" s="191"/>
      <c r="AA13" s="191"/>
      <c r="AB13" s="191"/>
      <c r="AC13" s="7"/>
      <c r="AD13" s="7"/>
      <c r="AE13" s="7"/>
      <c r="AF13" s="3"/>
      <c r="AG13" s="65"/>
      <c r="AH13" s="65"/>
      <c r="AI13" s="65"/>
      <c r="AJ13" s="3"/>
      <c r="AK13" s="65"/>
      <c r="AL13" s="65"/>
      <c r="AM13" s="65"/>
      <c r="AN13" s="3"/>
      <c r="AO13" s="159"/>
      <c r="AP13" s="3"/>
      <c r="AQ13" s="7"/>
      <c r="AR13" s="7"/>
      <c r="AS13" s="7"/>
      <c r="AT13" s="3"/>
      <c r="AU13" s="65"/>
      <c r="AV13" s="65"/>
      <c r="AW13" s="65"/>
      <c r="AX13" s="3"/>
      <c r="AY13" s="65"/>
      <c r="AZ13" s="65"/>
      <c r="BA13" s="65"/>
      <c r="BB13" s="3"/>
      <c r="BC13" s="159"/>
      <c r="BD13" s="3"/>
    </row>
    <row r="14" spans="1:56" ht="15">
      <c r="A14" s="187" t="s">
        <v>12</v>
      </c>
      <c r="B14" s="241">
        <f>'[1]Sheet1'!$B$22</f>
        <v>-1102.4071050000002</v>
      </c>
      <c r="C14" s="241">
        <f>'[1]Sheet1'!$C$22</f>
        <v>-548.464206</v>
      </c>
      <c r="D14" s="241">
        <f>'[1]Sheet1'!$D$22</f>
        <v>-7502.815609</v>
      </c>
      <c r="E14" s="242">
        <f>SUM(B14:D14)*-1</f>
        <v>9153.68692</v>
      </c>
      <c r="F14" s="242">
        <f>'[1]Sheet1'!$B$23</f>
        <v>-582.7759860000001</v>
      </c>
      <c r="G14" s="242">
        <f>'[1]Sheet1'!$C$23</f>
        <v>-548.464206</v>
      </c>
      <c r="H14" s="242">
        <f>'[1]Sheet1'!$D$23+'[4]Sheet1'!$D$10</f>
        <v>-7371.150828</v>
      </c>
      <c r="I14" s="193">
        <f>SUM(F14:H14)*-1</f>
        <v>8502.39102</v>
      </c>
      <c r="J14" s="242">
        <f>'[1]Sheet1'!$B$24</f>
        <v>-519.631119</v>
      </c>
      <c r="K14" s="242">
        <f>'[1]Sheet1'!$C$24</f>
        <v>0</v>
      </c>
      <c r="L14" s="242">
        <f>'[1]Sheet1'!$D$24</f>
        <v>-6959.091526</v>
      </c>
      <c r="M14" s="193">
        <f>SUM(J14:L14)*-1</f>
        <v>7478.722645</v>
      </c>
      <c r="N14" s="191">
        <f>E14+I14+M14</f>
        <v>25134.800584999997</v>
      </c>
      <c r="O14" s="64">
        <f>'[1]Sheet1'!$F$23</f>
        <v>-364.400183</v>
      </c>
      <c r="P14" s="64">
        <f>'[1]Sheet1'!$G$23</f>
        <v>0</v>
      </c>
      <c r="Q14" s="120">
        <f>'[1]Sheet1'!$H$23</f>
        <v>0</v>
      </c>
      <c r="R14" s="191">
        <f>SUM(O14:Q14)*-1</f>
        <v>364.400183</v>
      </c>
      <c r="S14" s="67">
        <f>'[1]Sheet1'!$F$24+'[4]Sheet1'!$F$10</f>
        <v>-10700.89649</v>
      </c>
      <c r="T14" s="67">
        <f>'[1]Sheet1'!$G$24+'[4]Sheet1'!$G$10</f>
        <v>-421.454188</v>
      </c>
      <c r="U14" s="67">
        <f>'[1]Sheet1'!$H$24+'[4]Sheet1'!$H$10</f>
        <v>0</v>
      </c>
      <c r="V14" s="191">
        <f>SUM(S14:U14)*-1</f>
        <v>11122.350677999999</v>
      </c>
      <c r="W14" s="67">
        <f>'[1]Sheet1'!$F$25</f>
        <v>-92289.61327621</v>
      </c>
      <c r="X14" s="67">
        <f>'[1]Sheet1'!$G$25</f>
        <v>-2652.276658</v>
      </c>
      <c r="Y14" s="67">
        <f>'[1]Sheet1'!$H$25</f>
        <v>0</v>
      </c>
      <c r="Z14" s="191">
        <f>SUM(W14:Y14)*-1</f>
        <v>94941.88993421</v>
      </c>
      <c r="AA14" s="191">
        <f>Z14+V14+R14</f>
        <v>106428.64079521001</v>
      </c>
      <c r="AB14" s="191">
        <f>AA14+N14</f>
        <v>131563.44138021002</v>
      </c>
      <c r="AC14" s="64">
        <f>'[5]Sheet1'!$B$23</f>
        <v>-582.775986</v>
      </c>
      <c r="AD14" s="64">
        <f>'[5]Sheet1'!$C$23</f>
        <v>-548.4642059999999</v>
      </c>
      <c r="AE14" s="64">
        <f>'[5]Sheet1'!$D$23</f>
        <v>-543.724083</v>
      </c>
      <c r="AF14" s="3">
        <f>SUM(AC14:AE14)*-1</f>
        <v>1674.9642749999998</v>
      </c>
      <c r="AG14" s="65">
        <f>'[5]Sheet1'!$B$24+'[6]Sheet1'!$B$10</f>
        <v>-519.631119</v>
      </c>
      <c r="AH14" s="65">
        <f>'[5]Sheet1'!$C$24+'[6]Sheet1'!$C$10</f>
        <v>-937.6759020000002</v>
      </c>
      <c r="AI14" s="65">
        <f>'[5]Sheet1'!$D$24+'[6]Sheet1'!$D$10</f>
        <v>-6959.091526</v>
      </c>
      <c r="AJ14" s="3">
        <f>SUM(AG14:AI14)*-1</f>
        <v>8416.398547</v>
      </c>
      <c r="AK14" s="65">
        <f>'[5]Sheet1'!$B$25</f>
        <v>-58989.288116840005</v>
      </c>
      <c r="AL14" s="65">
        <f>'[5]Sheet1'!$C$25</f>
        <v>-70812.61724302999</v>
      </c>
      <c r="AM14" s="65">
        <f>'[5]Sheet1'!$D$25</f>
        <v>-127896.97752401001</v>
      </c>
      <c r="AN14" s="3">
        <f>SUM(AK14:AM14)*-1</f>
        <v>257698.88288388</v>
      </c>
      <c r="AO14" s="159">
        <f>AN14+AJ14+AF14</f>
        <v>267790.24570588</v>
      </c>
      <c r="AP14" s="3">
        <f>AO14+AB14</f>
        <v>399353.68708609</v>
      </c>
      <c r="AQ14" s="64">
        <f>'[5]Sheet1'!$F$23</f>
        <v>-364.400183</v>
      </c>
      <c r="AR14" s="64">
        <f>'[5]Sheet1'!$G$23</f>
        <v>0</v>
      </c>
      <c r="AS14" s="64">
        <f>'[5]Sheet1'!$H$23</f>
        <v>0</v>
      </c>
      <c r="AT14" s="3">
        <f>SUM(AQ14:AS14)*-1</f>
        <v>364.400183</v>
      </c>
      <c r="AU14" s="65">
        <f>'[5]Sheet1'!$F$24+'[6]Sheet1'!$F$10</f>
        <v>-3231.9830899999997</v>
      </c>
      <c r="AV14" s="65">
        <f>'[5]Sheet1'!$G$24+'[6]Sheet1'!$G$10</f>
        <v>-45</v>
      </c>
      <c r="AW14" s="65">
        <f>'[5]Sheet1'!$H$24+'[6]Sheet1'!$H$10</f>
        <v>0</v>
      </c>
      <c r="AX14" s="3">
        <f>SUM(AU14:AW14)*-1</f>
        <v>3276.9830899999997</v>
      </c>
      <c r="AY14" s="65">
        <f>'[5]Sheet1'!$F$25</f>
        <v>-80931.67191121</v>
      </c>
      <c r="AZ14" s="65">
        <f>'[5]Sheet1'!$G$25</f>
        <v>-2652.2766579999998</v>
      </c>
      <c r="BA14" s="65">
        <f>'[5]Sheet1'!$H$25</f>
        <v>0</v>
      </c>
      <c r="BB14" s="3">
        <f>SUM(AY14:BA14)*-1</f>
        <v>83583.94856921</v>
      </c>
      <c r="BC14" s="159">
        <f>BB14+AX14+AT14</f>
        <v>87225.33184221</v>
      </c>
      <c r="BD14" s="3">
        <f>BC14+AO14+AA14+N14</f>
        <v>486579.01892830007</v>
      </c>
    </row>
    <row r="15" spans="1:56" ht="15">
      <c r="A15" s="187"/>
      <c r="B15" s="169"/>
      <c r="C15" s="169"/>
      <c r="D15" s="169"/>
      <c r="E15" s="242"/>
      <c r="F15" s="242"/>
      <c r="G15" s="242"/>
      <c r="H15" s="242"/>
      <c r="I15" s="193"/>
      <c r="J15" s="242"/>
      <c r="K15" s="242"/>
      <c r="L15" s="242"/>
      <c r="M15" s="193"/>
      <c r="N15" s="191"/>
      <c r="O15" s="7"/>
      <c r="P15" s="7"/>
      <c r="Q15" s="25"/>
      <c r="R15" s="191"/>
      <c r="S15" s="67"/>
      <c r="T15" s="67"/>
      <c r="U15" s="67"/>
      <c r="V15" s="191"/>
      <c r="W15" s="67"/>
      <c r="X15" s="67"/>
      <c r="Y15" s="67"/>
      <c r="Z15" s="191"/>
      <c r="AA15" s="191"/>
      <c r="AB15" s="191"/>
      <c r="AC15" s="7"/>
      <c r="AD15" s="7"/>
      <c r="AE15" s="7"/>
      <c r="AF15" s="3"/>
      <c r="AG15" s="65"/>
      <c r="AH15" s="65"/>
      <c r="AI15" s="65"/>
      <c r="AJ15" s="3"/>
      <c r="AK15" s="65"/>
      <c r="AL15" s="65"/>
      <c r="AM15" s="65"/>
      <c r="AN15" s="3"/>
      <c r="AO15" s="159"/>
      <c r="AP15" s="3"/>
      <c r="AQ15" s="7"/>
      <c r="AR15" s="7"/>
      <c r="AS15" s="7"/>
      <c r="AT15" s="3"/>
      <c r="AU15" s="65"/>
      <c r="AV15" s="65"/>
      <c r="AW15" s="65"/>
      <c r="AX15" s="3"/>
      <c r="AY15" s="65"/>
      <c r="AZ15" s="65"/>
      <c r="BA15" s="65"/>
      <c r="BB15" s="3"/>
      <c r="BC15" s="159"/>
      <c r="BD15" s="3"/>
    </row>
    <row r="16" spans="1:56" ht="15">
      <c r="A16" s="187" t="s">
        <v>18</v>
      </c>
      <c r="B16" s="241">
        <f>'[1]Sheet1'!$B$18</f>
        <v>-2238.737407</v>
      </c>
      <c r="C16" s="241">
        <f>'[1]Sheet1'!$C$18</f>
        <v>-1525.4214520000003</v>
      </c>
      <c r="D16" s="241">
        <f>'[1]Sheet1'!$D$18</f>
        <v>-2541.357192</v>
      </c>
      <c r="E16" s="242">
        <f>SUM(B16:D16)*-1</f>
        <v>6305.5160510000005</v>
      </c>
      <c r="F16" s="242">
        <f>'[1]Sheet1'!$B$19</f>
        <v>-1475.2310760000003</v>
      </c>
      <c r="G16" s="242">
        <f>'[1]Sheet1'!$C$19+'[4]Sheet1'!$C$8</f>
        <v>-5366.378452000001</v>
      </c>
      <c r="H16" s="242">
        <f>'[1]Sheet1'!$D$19+'[4]Sheet1'!$D$8</f>
        <v>-1155.923845</v>
      </c>
      <c r="I16" s="193">
        <f>SUM(F16:H16)*-1</f>
        <v>7997.533373000001</v>
      </c>
      <c r="J16" s="242">
        <f>'[1]Sheet1'!$B$20</f>
        <v>0</v>
      </c>
      <c r="K16" s="242">
        <f>'[1]Sheet1'!$C$20</f>
        <v>0</v>
      </c>
      <c r="L16" s="242">
        <f>'[1]Sheet1'!$D$20</f>
        <v>-812.8953469999999</v>
      </c>
      <c r="M16" s="193">
        <f>SUM(J16:L16)*-1</f>
        <v>812.8953469999999</v>
      </c>
      <c r="N16" s="191">
        <f>E16+I16+M16</f>
        <v>15115.944771</v>
      </c>
      <c r="O16" s="64">
        <f>'[1]Sheet1'!$F$19</f>
        <v>-164.280899</v>
      </c>
      <c r="P16" s="64">
        <f>'[1]Sheet1'!$G$19</f>
        <v>0</v>
      </c>
      <c r="Q16" s="120">
        <f>'[1]Sheet1'!$H$19</f>
        <v>0</v>
      </c>
      <c r="R16" s="191">
        <f>SUM(O16:Q16)*-1</f>
        <v>164.280899</v>
      </c>
      <c r="S16" s="67">
        <f>'[1]Sheet1'!$F$20+'[4]Sheet1'!$F$8</f>
        <v>-1168.62522</v>
      </c>
      <c r="T16" s="67">
        <f>'[1]Sheet1'!$G$20+'[4]Sheet1'!$G$8</f>
        <v>-273.2153</v>
      </c>
      <c r="U16" s="67">
        <f>'[1]Sheet1'!$H$20+'[4]Sheet1'!$H$8</f>
        <v>0</v>
      </c>
      <c r="V16" s="191">
        <f>SUM(S16:U16)*-1</f>
        <v>1441.84052</v>
      </c>
      <c r="W16" s="67">
        <f>'[1]Sheet1'!$F$21</f>
        <v>0</v>
      </c>
      <c r="X16" s="67">
        <f>'[1]Sheet1'!$G$21</f>
        <v>0</v>
      </c>
      <c r="Y16" s="67">
        <f>'[1]Sheet1'!$H$21</f>
        <v>0</v>
      </c>
      <c r="Z16" s="191">
        <f>SUM(W16:Y16)*-1</f>
        <v>0</v>
      </c>
      <c r="AA16" s="191">
        <f>Z16+V16+R16</f>
        <v>1606.121419</v>
      </c>
      <c r="AB16" s="191">
        <f>AA16+N16</f>
        <v>16722.06619</v>
      </c>
      <c r="AC16" s="64">
        <f>'[5]Sheet1'!$B$19</f>
        <v>-1475.2310760000003</v>
      </c>
      <c r="AD16" s="64">
        <f>'[5]Sheet1'!$C$19</f>
        <v>-1525.4214520000003</v>
      </c>
      <c r="AE16" s="64">
        <f>'[5]Sheet1'!$D$19</f>
        <v>-1149.461845</v>
      </c>
      <c r="AF16" s="3">
        <f>SUM(AC16:AE16)*-1</f>
        <v>4150.114373</v>
      </c>
      <c r="AG16" s="65">
        <f>'[5]Sheet1'!$B$20+'[6]Sheet1'!$B$8</f>
        <v>0</v>
      </c>
      <c r="AH16" s="65">
        <f>'[5]Sheet1'!$C$20+'[6]Sheet1'!$C$8</f>
        <v>-2671.4175876599998</v>
      </c>
      <c r="AI16" s="65">
        <f>'[5]Sheet1'!$D$20+'[6]Sheet1'!$D$8</f>
        <v>-812.8953469999999</v>
      </c>
      <c r="AJ16" s="3">
        <f>SUM(AG16:AI16)*-1</f>
        <v>3484.31293466</v>
      </c>
      <c r="AK16" s="65">
        <f>'[5]Sheet1'!$B$21</f>
        <v>-763.506331</v>
      </c>
      <c r="AL16" s="65">
        <f>'[5]Sheet1'!$C$21</f>
        <v>0</v>
      </c>
      <c r="AM16" s="65">
        <f>'[5]Sheet1'!$D$21</f>
        <v>-579</v>
      </c>
      <c r="AN16" s="3">
        <f>SUM(AK16:AM16)*-1</f>
        <v>1342.506331</v>
      </c>
      <c r="AO16" s="159">
        <f>AN16+AJ16+AF16</f>
        <v>8976.93363866</v>
      </c>
      <c r="AP16" s="3">
        <f>AO16+AB16-1</f>
        <v>25697.999828660002</v>
      </c>
      <c r="AQ16" s="64">
        <f>'[5]Sheet1'!$F$19</f>
        <v>-164.280899</v>
      </c>
      <c r="AR16" s="64">
        <f>'[5]Sheet1'!$G$19</f>
        <v>0</v>
      </c>
      <c r="AS16" s="64">
        <f>'[5]Sheet1'!$H$19</f>
        <v>0</v>
      </c>
      <c r="AT16" s="3">
        <f>SUM(AQ16:AS16)*-1</f>
        <v>164.280899</v>
      </c>
      <c r="AU16" s="65">
        <f>'[5]Sheet1'!$F$20+'[6]Sheet1'!$F$8</f>
        <v>-1240.6762199999998</v>
      </c>
      <c r="AV16" s="65">
        <f>'[5]Sheet1'!$G$20+'[6]Sheet1'!$G$8</f>
        <v>-273.2153</v>
      </c>
      <c r="AW16" s="65">
        <f>'[5]Sheet1'!$H$20+'[6]Sheet1'!$H$8</f>
        <v>0</v>
      </c>
      <c r="AX16" s="3">
        <f>SUM(AU16:AW16)*-1</f>
        <v>1513.89152</v>
      </c>
      <c r="AY16" s="65">
        <f>'[5]Sheet1'!$F$21</f>
        <v>0</v>
      </c>
      <c r="AZ16" s="65">
        <f>'[5]Sheet1'!$G$21</f>
        <v>0</v>
      </c>
      <c r="BA16" s="65">
        <f>'[5]Sheet1'!$H$21</f>
        <v>0</v>
      </c>
      <c r="BB16" s="3">
        <f>SUM(AY16:BA16)*-1</f>
        <v>0</v>
      </c>
      <c r="BC16" s="159">
        <f>BB16+AX16+AT16</f>
        <v>1678.172419</v>
      </c>
      <c r="BD16" s="3">
        <f>BC16+AO16+AA16+N16</f>
        <v>27377.172247660004</v>
      </c>
    </row>
    <row r="17" spans="1:56" ht="15">
      <c r="A17" s="187"/>
      <c r="B17" s="169"/>
      <c r="C17" s="169"/>
      <c r="D17" s="169"/>
      <c r="E17" s="242"/>
      <c r="F17" s="242"/>
      <c r="G17" s="242"/>
      <c r="H17" s="242"/>
      <c r="I17" s="193"/>
      <c r="J17" s="242"/>
      <c r="K17" s="242"/>
      <c r="L17" s="242"/>
      <c r="M17" s="193"/>
      <c r="N17" s="191"/>
      <c r="O17" s="7"/>
      <c r="P17" s="7"/>
      <c r="Q17" s="25"/>
      <c r="R17" s="191"/>
      <c r="S17" s="67"/>
      <c r="T17" s="67"/>
      <c r="U17" s="67"/>
      <c r="V17" s="191"/>
      <c r="W17" s="67"/>
      <c r="X17" s="67"/>
      <c r="Y17" s="67"/>
      <c r="Z17" s="191"/>
      <c r="AA17" s="191"/>
      <c r="AB17" s="191"/>
      <c r="AC17" s="7"/>
      <c r="AD17" s="7"/>
      <c r="AE17" s="7"/>
      <c r="AF17" s="3"/>
      <c r="AG17" s="65"/>
      <c r="AH17" s="65"/>
      <c r="AI17" s="65"/>
      <c r="AJ17" s="3"/>
      <c r="AK17" s="65"/>
      <c r="AL17" s="65"/>
      <c r="AM17" s="65"/>
      <c r="AN17" s="3"/>
      <c r="AO17" s="159"/>
      <c r="AP17" s="3"/>
      <c r="AQ17" s="7"/>
      <c r="AR17" s="7"/>
      <c r="AS17" s="7"/>
      <c r="AT17" s="3"/>
      <c r="AU17" s="65"/>
      <c r="AV17" s="65"/>
      <c r="AW17" s="65"/>
      <c r="AX17" s="3"/>
      <c r="AY17" s="65"/>
      <c r="AZ17" s="65"/>
      <c r="BA17" s="65"/>
      <c r="BB17" s="3"/>
      <c r="BC17" s="159"/>
      <c r="BD17" s="3"/>
    </row>
    <row r="18" spans="1:56" ht="15">
      <c r="A18" s="187" t="s">
        <v>105</v>
      </c>
      <c r="B18" s="241">
        <f>'[1]Sheet1'!$B$7</f>
        <v>-576.690375</v>
      </c>
      <c r="C18" s="241">
        <f>'[1]Sheet1'!$C$7</f>
        <v>-2416.8424479999994</v>
      </c>
      <c r="D18" s="241">
        <f>'[1]Sheet1'!$D$7</f>
        <v>-579.3994689999998</v>
      </c>
      <c r="E18" s="242">
        <f>SUM(B18:D18)*-1</f>
        <v>3572.9322919999995</v>
      </c>
      <c r="F18" s="242">
        <f>'[1]Sheet1'!$B$8</f>
        <v>-519.20115905</v>
      </c>
      <c r="G18" s="242">
        <f>'[1]Sheet1'!$C$8</f>
        <v>-1384.6732630000001</v>
      </c>
      <c r="H18" s="242">
        <f>'[1]Sheet1'!$D$8</f>
        <v>-1330.4139950000003</v>
      </c>
      <c r="I18" s="193">
        <f>SUM(F18:H18)*-1</f>
        <v>3234.2884170500006</v>
      </c>
      <c r="J18" s="242"/>
      <c r="K18" s="242"/>
      <c r="L18" s="242"/>
      <c r="M18" s="193">
        <f>SUM(J18:L18)*-1</f>
        <v>0</v>
      </c>
      <c r="N18" s="191">
        <f>E18+I18+M18</f>
        <v>6807.22070905</v>
      </c>
      <c r="O18" s="64">
        <f>'[1]Sheet1'!$F$7</f>
        <v>-224.22271400000002</v>
      </c>
      <c r="P18" s="64">
        <f>'[1]Sheet1'!$G$7</f>
        <v>0</v>
      </c>
      <c r="Q18" s="120">
        <f>'[1]Sheet1'!$H$7</f>
        <v>0</v>
      </c>
      <c r="R18" s="191">
        <f>SUM(O18:Q18)*-1</f>
        <v>224.22271400000002</v>
      </c>
      <c r="S18" s="67" t="e">
        <f>'[1]Sheet1'!$F$8+'[7]Sheet1'!$F$3</f>
        <v>#REF!</v>
      </c>
      <c r="T18" s="67" t="e">
        <f>'[1]Sheet1'!$G$8+'[7]Sheet1'!$G$3</f>
        <v>#REF!</v>
      </c>
      <c r="U18" s="67" t="e">
        <f>'[1]Sheet1'!$H$8+'[7]Sheet1'!$H$3</f>
        <v>#REF!</v>
      </c>
      <c r="V18" s="191" t="e">
        <f>SUM(S18:U18)*-1</f>
        <v>#REF!</v>
      </c>
      <c r="W18" s="67">
        <f>'[1]Sheet1'!$F$9</f>
        <v>-221.871935</v>
      </c>
      <c r="X18" s="67">
        <f>'[1]Sheet1'!$G$9</f>
        <v>0</v>
      </c>
      <c r="Y18" s="67">
        <f>'[1]Sheet1'!$H$9</f>
        <v>0</v>
      </c>
      <c r="Z18" s="191">
        <v>0</v>
      </c>
      <c r="AA18" s="191" t="e">
        <f>Z18+V18+R18</f>
        <v>#REF!</v>
      </c>
      <c r="AB18" s="191" t="e">
        <f>AA18+N18</f>
        <v>#REF!</v>
      </c>
      <c r="AC18" s="64">
        <f>'[5]Sheet1'!$B$7-'[8]Sheet1'!$B$3</f>
        <v>1094.075637</v>
      </c>
      <c r="AD18" s="64">
        <f>'[5]Sheet1'!$C$7</f>
        <v>-2416.842448</v>
      </c>
      <c r="AE18" s="64">
        <f>'[5]Sheet1'!$D$7</f>
        <v>-579.399469</v>
      </c>
      <c r="AF18" s="3">
        <f>SUM(AC18:AE18)*-1</f>
        <v>1902.16628</v>
      </c>
      <c r="AG18" s="65">
        <f>'[5]Sheet1'!$B$8</f>
        <v>-519.20115905</v>
      </c>
      <c r="AH18" s="65">
        <f>'[5]Sheet1'!$C$8</f>
        <v>-1384.6732630000001</v>
      </c>
      <c r="AI18" s="65">
        <f>'[5]Sheet1'!$D$8</f>
        <v>-1330.4139950000003</v>
      </c>
      <c r="AJ18" s="3">
        <f>SUM(AG18:AI18)*-1</f>
        <v>3234.2884170500006</v>
      </c>
      <c r="AK18" s="65">
        <f>'[5]Sheet1'!$B$9</f>
        <v>0</v>
      </c>
      <c r="AL18" s="65">
        <f>'[5]Sheet1'!$C$9</f>
        <v>0</v>
      </c>
      <c r="AM18" s="65">
        <f>'[5]Sheet1'!$D$9</f>
        <v>-85</v>
      </c>
      <c r="AN18" s="3">
        <f>SUM(AK18:AM18)*-1</f>
        <v>85</v>
      </c>
      <c r="AO18" s="159">
        <f>AN18+AJ18+AF18</f>
        <v>5221.4546970500005</v>
      </c>
      <c r="AP18" s="3" t="e">
        <f>AO18+AB18</f>
        <v>#REF!</v>
      </c>
      <c r="AQ18" s="64">
        <f>'[5]Sheet1'!$F$7-'[8]Sheet1'!$F$3</f>
        <v>-349.87358800000004</v>
      </c>
      <c r="AR18" s="64">
        <f>'[5]Sheet1'!$G$7</f>
        <v>0</v>
      </c>
      <c r="AS18" s="64">
        <f>'[5]Sheet1'!$H$7</f>
        <v>0</v>
      </c>
      <c r="AT18" s="3">
        <f>SUM(AQ18:AS18)*-1</f>
        <v>349.87358800000004</v>
      </c>
      <c r="AU18" s="65">
        <f>'[5]Sheet1'!$F$8</f>
        <v>-1255.157515</v>
      </c>
      <c r="AV18" s="65">
        <f>'[5]Sheet1'!$G$8</f>
        <v>-164.56159799999998</v>
      </c>
      <c r="AW18" s="65">
        <f>'[5]Sheet1'!$H$8</f>
        <v>0</v>
      </c>
      <c r="AX18" s="3">
        <f>SUM(AU18:AW18)*-1</f>
        <v>1419.719113</v>
      </c>
      <c r="AY18" s="65">
        <f>'[5]Sheet1'!$F$9</f>
        <v>-221.871935</v>
      </c>
      <c r="AZ18" s="65">
        <f>'[5]Sheet1'!$G$9</f>
        <v>0</v>
      </c>
      <c r="BA18" s="65">
        <f>'[5]Sheet1'!$H$9</f>
        <v>0</v>
      </c>
      <c r="BB18" s="3">
        <f>SUM(AY18:BA18)*-1</f>
        <v>221.871935</v>
      </c>
      <c r="BC18" s="159">
        <f>BB18+AX18+AT18</f>
        <v>1991.4646360000002</v>
      </c>
      <c r="BD18" s="3" t="e">
        <f>BC18+AO18+AA18+N18</f>
        <v>#REF!</v>
      </c>
    </row>
    <row r="19" spans="1:56" ht="15">
      <c r="A19" s="187"/>
      <c r="B19" s="169"/>
      <c r="C19" s="169"/>
      <c r="D19" s="169"/>
      <c r="E19" s="242"/>
      <c r="F19" s="242"/>
      <c r="G19" s="242"/>
      <c r="H19" s="242"/>
      <c r="I19" s="193"/>
      <c r="J19" s="242"/>
      <c r="K19" s="242"/>
      <c r="L19" s="242"/>
      <c r="M19" s="193"/>
      <c r="N19" s="191"/>
      <c r="O19" s="7"/>
      <c r="P19" s="7"/>
      <c r="Q19" s="25"/>
      <c r="R19" s="191"/>
      <c r="S19" s="67"/>
      <c r="T19" s="67"/>
      <c r="U19" s="67"/>
      <c r="V19" s="191"/>
      <c r="W19" s="67"/>
      <c r="X19" s="67"/>
      <c r="Y19" s="67"/>
      <c r="Z19" s="191"/>
      <c r="AA19" s="191"/>
      <c r="AB19" s="191"/>
      <c r="AC19" s="7"/>
      <c r="AD19" s="7"/>
      <c r="AE19" s="7"/>
      <c r="AF19" s="3"/>
      <c r="AG19" s="65"/>
      <c r="AH19" s="65"/>
      <c r="AI19" s="65"/>
      <c r="AJ19" s="3"/>
      <c r="AK19" s="65"/>
      <c r="AL19" s="65"/>
      <c r="AM19" s="65"/>
      <c r="AN19" s="3"/>
      <c r="AO19" s="159"/>
      <c r="AP19" s="3"/>
      <c r="AQ19" s="7"/>
      <c r="AR19" s="7"/>
      <c r="AS19" s="7"/>
      <c r="AT19" s="3"/>
      <c r="AU19" s="65"/>
      <c r="AV19" s="65"/>
      <c r="AW19" s="65"/>
      <c r="AX19" s="3"/>
      <c r="AY19" s="65"/>
      <c r="AZ19" s="65"/>
      <c r="BA19" s="65"/>
      <c r="BB19" s="3"/>
      <c r="BC19" s="159"/>
      <c r="BD19" s="3"/>
    </row>
    <row r="20" spans="1:56" ht="15">
      <c r="A20" s="187" t="s">
        <v>24</v>
      </c>
      <c r="B20" s="241">
        <f>'[1]Sheet1'!$B$10</f>
        <v>-24905.292218479994</v>
      </c>
      <c r="C20" s="241">
        <f>'[1]Sheet1'!$C$10</f>
        <v>-30843.984703920003</v>
      </c>
      <c r="D20" s="241">
        <f>'[1]Sheet1'!$D$10</f>
        <v>-81150.16343126999</v>
      </c>
      <c r="E20" s="242">
        <f>SUM(B20:D20)*-1</f>
        <v>136899.44035366998</v>
      </c>
      <c r="F20" s="242">
        <f>'[1]Sheet1'!$B$11</f>
        <v>-15261.741728999994</v>
      </c>
      <c r="G20" s="242">
        <f>'[1]Sheet1'!$C$11</f>
        <v>-12221.748082000006</v>
      </c>
      <c r="H20" s="242">
        <f>'[1]Sheet1'!$D$11</f>
        <v>-11210.821120999994</v>
      </c>
      <c r="I20" s="193">
        <f>SUM(F20:H20)*-1</f>
        <v>38694.31093199999</v>
      </c>
      <c r="J20" s="242">
        <f>'[1]Sheet1'!$B$12</f>
        <v>-6418.76939348</v>
      </c>
      <c r="K20" s="242">
        <f>'[1]Sheet1'!$C$12</f>
        <v>-13477.13849565</v>
      </c>
      <c r="L20" s="242">
        <f>'[1]Sheet1'!$D$12</f>
        <v>-36408.60425417</v>
      </c>
      <c r="M20" s="193">
        <f>SUM(J20:L20)*-1</f>
        <v>56304.5121433</v>
      </c>
      <c r="N20" s="191">
        <f>E20+I20+M20</f>
        <v>231898.26342896998</v>
      </c>
      <c r="O20" s="64">
        <f>'[1]Sheet1'!$F$11</f>
        <v>-12653.181978999995</v>
      </c>
      <c r="P20" s="64">
        <f>'[1]Sheet1'!$G$11</f>
        <v>-88.6</v>
      </c>
      <c r="Q20" s="120">
        <f>'[1]Sheet1'!$H$11</f>
        <v>0</v>
      </c>
      <c r="R20" s="191">
        <f>SUM(O20:Q20)*-1</f>
        <v>12741.781978999996</v>
      </c>
      <c r="S20" s="67">
        <f>'[1]Sheet1'!$F$12</f>
        <v>-17008.60681741</v>
      </c>
      <c r="T20" s="67">
        <f>'[1]Sheet1'!$G$12</f>
        <v>-1403.4429220000002</v>
      </c>
      <c r="U20" s="67">
        <f>'[1]Sheet1'!$H$12</f>
        <v>0</v>
      </c>
      <c r="V20" s="191">
        <f>SUM(S20:U20)*-1</f>
        <v>18412.049739410002</v>
      </c>
      <c r="W20" s="67">
        <f>'[1]Sheet1'!$F$13</f>
        <v>-9334.29522</v>
      </c>
      <c r="X20" s="67">
        <f>'[1]Sheet1'!$G$13</f>
        <v>-25</v>
      </c>
      <c r="Y20" s="67">
        <f>'[1]Sheet1'!$H$13</f>
        <v>0</v>
      </c>
      <c r="Z20" s="191">
        <f>SUM(W20:Y20)*-1</f>
        <v>9359.29522</v>
      </c>
      <c r="AA20" s="191">
        <f>Z20+V20+R20</f>
        <v>40513.12693841</v>
      </c>
      <c r="AB20" s="191">
        <f>AA20+N20</f>
        <v>272411.39036738</v>
      </c>
      <c r="AC20" s="64">
        <f>'[5]Sheet1'!$B$11</f>
        <v>-15261.741729000008</v>
      </c>
      <c r="AD20" s="64">
        <f>'[5]Sheet1'!$C$11</f>
        <v>-12221.748081999995</v>
      </c>
      <c r="AE20" s="64">
        <f>'[5]Sheet1'!$D$11</f>
        <v>-11210.821121</v>
      </c>
      <c r="AF20" s="3">
        <f>SUM(AC20:AE20)*-1</f>
        <v>38694.31093200001</v>
      </c>
      <c r="AG20" s="65">
        <f>'[5]Sheet1'!$B$12</f>
        <v>-6418.76939348</v>
      </c>
      <c r="AH20" s="65">
        <f>'[5]Sheet1'!$C$12</f>
        <v>-13477.138495650002</v>
      </c>
      <c r="AI20" s="65">
        <f>'[5]Sheet1'!$D$12</f>
        <v>-36408.60425417001</v>
      </c>
      <c r="AJ20" s="3">
        <f>SUM(AG20:AI20)*-1</f>
        <v>56304.51214330001</v>
      </c>
      <c r="AK20" s="65">
        <f>'[5]Sheet1'!$B$13</f>
        <v>-3224.781096</v>
      </c>
      <c r="AL20" s="65">
        <f>'[5]Sheet1'!$C$13</f>
        <v>-5145.09812627</v>
      </c>
      <c r="AM20" s="65">
        <f>'[5]Sheet1'!$D$13</f>
        <v>-33530.7380561</v>
      </c>
      <c r="AN20" s="3">
        <f>SUM(AK20:AM20)*-1</f>
        <v>41900.61727837</v>
      </c>
      <c r="AO20" s="159">
        <f>AN20+AJ20+AF20</f>
        <v>136899.44035367004</v>
      </c>
      <c r="AP20" s="3">
        <f>AO20+AB20</f>
        <v>409310.83072105004</v>
      </c>
      <c r="AQ20" s="64">
        <f>'[5]Sheet1'!$F$11</f>
        <v>-12653.181978999999</v>
      </c>
      <c r="AR20" s="64">
        <f>'[5]Sheet1'!$G$11</f>
        <v>-88.6</v>
      </c>
      <c r="AS20" s="64">
        <f>'[5]Sheet1'!$H$11</f>
        <v>0</v>
      </c>
      <c r="AT20" s="3">
        <f>SUM(AQ20:AS20)*-1</f>
        <v>12741.781979</v>
      </c>
      <c r="AU20" s="65">
        <f>'[5]Sheet1'!$F$12</f>
        <v>-17008.60681741</v>
      </c>
      <c r="AV20" s="65">
        <f>'[5]Sheet1'!$G$12</f>
        <v>-1403.442922</v>
      </c>
      <c r="AW20" s="65">
        <f>'[5]Sheet1'!$H$12</f>
        <v>0</v>
      </c>
      <c r="AX20" s="3">
        <f>SUM(AU20:AW20)*-1</f>
        <v>18412.04973941</v>
      </c>
      <c r="AY20" s="65">
        <f>'[5]Sheet1'!$F$13</f>
        <v>-9334.29522</v>
      </c>
      <c r="AZ20" s="65">
        <f>'[5]Sheet1'!$G$13</f>
        <v>-25</v>
      </c>
      <c r="BA20" s="65">
        <f>'[5]Sheet1'!$H$13</f>
        <v>0</v>
      </c>
      <c r="BB20" s="3">
        <f>SUM(AY20:BA20)*-1</f>
        <v>9359.29522</v>
      </c>
      <c r="BC20" s="159">
        <f>BB20+AX20+AT20</f>
        <v>40513.12693841</v>
      </c>
      <c r="BD20" s="3">
        <f>BC20+AO20+AA20+N20</f>
        <v>449823.95765946</v>
      </c>
    </row>
    <row r="21" spans="1:56" ht="15">
      <c r="A21" s="187"/>
      <c r="B21" s="169"/>
      <c r="C21" s="169"/>
      <c r="D21" s="169"/>
      <c r="E21" s="242"/>
      <c r="F21" s="242"/>
      <c r="G21" s="242"/>
      <c r="H21" s="242"/>
      <c r="I21" s="193"/>
      <c r="J21" s="242"/>
      <c r="K21" s="242"/>
      <c r="L21" s="242"/>
      <c r="M21" s="193"/>
      <c r="N21" s="191"/>
      <c r="O21" s="7"/>
      <c r="P21" s="7"/>
      <c r="Q21" s="25"/>
      <c r="R21" s="191"/>
      <c r="S21" s="67"/>
      <c r="T21" s="67"/>
      <c r="U21" s="67"/>
      <c r="V21" s="191"/>
      <c r="W21" s="67"/>
      <c r="X21" s="67"/>
      <c r="Y21" s="67"/>
      <c r="Z21" s="191"/>
      <c r="AA21" s="191"/>
      <c r="AB21" s="191"/>
      <c r="AC21" s="7"/>
      <c r="AD21" s="7"/>
      <c r="AE21" s="7"/>
      <c r="AF21" s="3"/>
      <c r="AG21" s="65"/>
      <c r="AH21" s="65"/>
      <c r="AI21" s="65"/>
      <c r="AJ21" s="3"/>
      <c r="AK21" s="65"/>
      <c r="AL21" s="65"/>
      <c r="AM21" s="65"/>
      <c r="AN21" s="3"/>
      <c r="AO21" s="159"/>
      <c r="AP21" s="3"/>
      <c r="AQ21" s="7"/>
      <c r="AR21" s="7"/>
      <c r="AS21" s="7"/>
      <c r="AT21" s="3"/>
      <c r="AU21" s="65"/>
      <c r="AV21" s="65"/>
      <c r="AW21" s="65"/>
      <c r="AX21" s="3"/>
      <c r="AY21" s="65"/>
      <c r="AZ21" s="65"/>
      <c r="BA21" s="65"/>
      <c r="BB21" s="3"/>
      <c r="BC21" s="159"/>
      <c r="BD21" s="3"/>
    </row>
    <row r="22" spans="1:56" ht="15">
      <c r="A22" s="187" t="s">
        <v>25</v>
      </c>
      <c r="B22" s="241" t="str">
        <f>'[1]Sheet1'!$B$26</f>
        <v>Page -1 of 1</v>
      </c>
      <c r="C22" s="241" t="str">
        <f>'[1]Sheet1'!$C$26</f>
        <v>PRINTED DATE:</v>
      </c>
      <c r="D22" s="241">
        <f>'[1]Sheet1'!$D$26</f>
        <v>40303</v>
      </c>
      <c r="E22" s="242">
        <f>SUM(B22:D22)*-1</f>
        <v>-40303</v>
      </c>
      <c r="F22" s="242">
        <f>'[1]Sheet1'!$B$27</f>
        <v>0</v>
      </c>
      <c r="G22" s="242">
        <f>'[1]Sheet1'!$C$27+'[4]Sheet1'!$C$12</f>
        <v>0</v>
      </c>
      <c r="H22" s="242">
        <f>'[1]Sheet1'!$D$27</f>
        <v>0</v>
      </c>
      <c r="I22" s="193">
        <f>SUM(F22:H22)*-1</f>
        <v>0</v>
      </c>
      <c r="J22" s="242"/>
      <c r="K22" s="242"/>
      <c r="L22" s="242"/>
      <c r="M22" s="193">
        <f>SUM(J22:L22)*-1</f>
        <v>0</v>
      </c>
      <c r="N22" s="191">
        <f>E22+I22+M22</f>
        <v>-40303</v>
      </c>
      <c r="O22" s="64">
        <f>'[1]Sheet1'!$F$27</f>
        <v>0</v>
      </c>
      <c r="P22" s="64">
        <f>'[1]Sheet1'!$G$27</f>
        <v>0</v>
      </c>
      <c r="Q22" s="120">
        <f>'[1]Sheet1'!$H$27</f>
        <v>0</v>
      </c>
      <c r="R22" s="191">
        <f>SUM(O22:Q22)*-1</f>
        <v>0</v>
      </c>
      <c r="S22" s="67">
        <f>'[1]Sheet1'!$F$28+'[4]Sheet1'!$F$12</f>
        <v>0</v>
      </c>
      <c r="T22" s="67">
        <f>'[1]Sheet1'!$G$28+'[4]Sheet1'!$G$12</f>
        <v>0</v>
      </c>
      <c r="U22" s="67">
        <f>'[1]Sheet1'!$H$28+'[4]Sheet1'!$H$12</f>
        <v>0</v>
      </c>
      <c r="V22" s="191">
        <f>SUM(S22:U22)*-1</f>
        <v>0</v>
      </c>
      <c r="W22" s="67"/>
      <c r="X22" s="67"/>
      <c r="Y22" s="67"/>
      <c r="Z22" s="191">
        <v>0</v>
      </c>
      <c r="AA22" s="191">
        <f>Z22+V22+R22</f>
        <v>0</v>
      </c>
      <c r="AB22" s="191">
        <f>AA22+N22</f>
        <v>-40303</v>
      </c>
      <c r="AC22" s="64" t="e">
        <f>'[5]Sheet1'!$B$27</f>
        <v>#REF!</v>
      </c>
      <c r="AD22" s="64" t="e">
        <f>'[5]Sheet1'!$C$27</f>
        <v>#REF!</v>
      </c>
      <c r="AE22" s="64" t="e">
        <f>'[5]Sheet1'!$D$27</f>
        <v>#REF!</v>
      </c>
      <c r="AF22" s="3" t="e">
        <f>SUM(AC22:AE22)*-1</f>
        <v>#REF!</v>
      </c>
      <c r="AG22" s="65" t="e">
        <f>'[5]Sheet1'!$B$28+'[6]Sheet1'!$B$12</f>
        <v>#REF!</v>
      </c>
      <c r="AH22" s="65" t="e">
        <f>'[5]Sheet1'!$C$28+'[6]Sheet1'!$C$12</f>
        <v>#REF!</v>
      </c>
      <c r="AI22" s="65" t="e">
        <f>'[5]Sheet1'!$D$28+'[6]Sheet1'!$D$12</f>
        <v>#REF!</v>
      </c>
      <c r="AJ22" s="3" t="e">
        <f>SUM(AG22:AI22)*-1</f>
        <v>#REF!</v>
      </c>
      <c r="AK22" s="65">
        <v>0</v>
      </c>
      <c r="AL22" s="65">
        <v>0</v>
      </c>
      <c r="AM22" s="65">
        <v>0</v>
      </c>
      <c r="AN22" s="3">
        <f>SUM(AK22:AM22)*-1</f>
        <v>0</v>
      </c>
      <c r="AO22" s="159" t="e">
        <f>AN22+AJ22+AF22</f>
        <v>#REF!</v>
      </c>
      <c r="AP22" s="3" t="e">
        <f>AO22+AB22</f>
        <v>#REF!</v>
      </c>
      <c r="AQ22" s="64" t="e">
        <f>'[5]Sheet1'!$F$27</f>
        <v>#REF!</v>
      </c>
      <c r="AR22" s="64" t="e">
        <f>'[5]Sheet1'!$G$27</f>
        <v>#REF!</v>
      </c>
      <c r="AS22" s="64" t="e">
        <f>'[5]Sheet1'!$H$27</f>
        <v>#REF!</v>
      </c>
      <c r="AT22" s="3" t="e">
        <f>SUM(AQ22:AS22)*-1</f>
        <v>#REF!</v>
      </c>
      <c r="AU22" s="65" t="e">
        <f>'[5]Sheet1'!$F$28+'[6]Sheet1'!$F$12</f>
        <v>#REF!</v>
      </c>
      <c r="AV22" s="65" t="e">
        <f>'[5]Sheet1'!$G$28+'[6]Sheet1'!$G$12</f>
        <v>#REF!</v>
      </c>
      <c r="AW22" s="65" t="e">
        <f>'[5]Sheet1'!$H$28+'[6]Sheet1'!$H$12</f>
        <v>#REF!</v>
      </c>
      <c r="AX22" s="3" t="e">
        <f>SUM(AU22:AW22)*-1</f>
        <v>#REF!</v>
      </c>
      <c r="AY22" s="65">
        <v>0</v>
      </c>
      <c r="AZ22" s="65">
        <v>0</v>
      </c>
      <c r="BA22" s="65">
        <v>0</v>
      </c>
      <c r="BB22" s="3">
        <f>SUM(AY22:BA22)*-1</f>
        <v>0</v>
      </c>
      <c r="BC22" s="159" t="e">
        <f>BB22+AX22+AT22</f>
        <v>#REF!</v>
      </c>
      <c r="BD22" s="3" t="e">
        <f>BC22+AO22+AA22+N22</f>
        <v>#REF!</v>
      </c>
    </row>
    <row r="23" spans="1:56" ht="15">
      <c r="A23" s="187"/>
      <c r="B23" s="169"/>
      <c r="C23" s="169"/>
      <c r="D23" s="169"/>
      <c r="E23" s="242"/>
      <c r="F23" s="242"/>
      <c r="G23" s="242"/>
      <c r="H23" s="242"/>
      <c r="I23" s="193"/>
      <c r="J23" s="242"/>
      <c r="K23" s="242"/>
      <c r="L23" s="242"/>
      <c r="M23" s="193"/>
      <c r="N23" s="191"/>
      <c r="O23" s="7"/>
      <c r="P23" s="7"/>
      <c r="Q23" s="25"/>
      <c r="R23" s="191"/>
      <c r="S23" s="67"/>
      <c r="T23" s="67"/>
      <c r="U23" s="67"/>
      <c r="V23" s="191"/>
      <c r="W23" s="67"/>
      <c r="X23" s="67"/>
      <c r="Y23" s="67"/>
      <c r="Z23" s="191"/>
      <c r="AA23" s="191"/>
      <c r="AB23" s="191"/>
      <c r="AC23" s="7"/>
      <c r="AD23" s="7"/>
      <c r="AE23" s="7"/>
      <c r="AF23" s="3"/>
      <c r="AG23" s="65"/>
      <c r="AH23" s="65"/>
      <c r="AI23" s="65"/>
      <c r="AJ23" s="3"/>
      <c r="AK23" s="65"/>
      <c r="AL23" s="65"/>
      <c r="AM23" s="65"/>
      <c r="AN23" s="3"/>
      <c r="AO23" s="159"/>
      <c r="AP23" s="3"/>
      <c r="AQ23" s="7"/>
      <c r="AR23" s="7"/>
      <c r="AS23" s="7"/>
      <c r="AT23" s="3"/>
      <c r="AU23" s="65"/>
      <c r="AV23" s="65"/>
      <c r="AW23" s="65"/>
      <c r="AX23" s="3"/>
      <c r="AY23" s="65"/>
      <c r="AZ23" s="65"/>
      <c r="BA23" s="65"/>
      <c r="BB23" s="3"/>
      <c r="BC23" s="159"/>
      <c r="BD23" s="3"/>
    </row>
    <row r="24" spans="1:56" ht="15">
      <c r="A24" s="187" t="s">
        <v>106</v>
      </c>
      <c r="B24" s="169"/>
      <c r="C24" s="169"/>
      <c r="D24" s="169"/>
      <c r="E24" s="242">
        <f>SUM(B24:D24)*-1</f>
        <v>0</v>
      </c>
      <c r="F24" s="242"/>
      <c r="G24" s="242"/>
      <c r="H24" s="242"/>
      <c r="I24" s="193">
        <f>SUM(F24:H24)*-1</f>
        <v>0</v>
      </c>
      <c r="J24" s="242"/>
      <c r="K24" s="242"/>
      <c r="L24" s="242"/>
      <c r="M24" s="193">
        <f>SUM(J24:L24)*-1</f>
        <v>0</v>
      </c>
      <c r="N24" s="191">
        <f>E24+I24+M24</f>
        <v>0</v>
      </c>
      <c r="O24" s="7"/>
      <c r="P24" s="7"/>
      <c r="Q24" s="25"/>
      <c r="R24" s="191">
        <f>SUM(O24:Q24)*-1</f>
        <v>0</v>
      </c>
      <c r="S24" s="67"/>
      <c r="T24" s="67"/>
      <c r="U24" s="67"/>
      <c r="V24" s="191">
        <f>SUM(S24:U24)*-1</f>
        <v>0</v>
      </c>
      <c r="W24" s="67"/>
      <c r="X24" s="67"/>
      <c r="Y24" s="67"/>
      <c r="Z24" s="191"/>
      <c r="AA24" s="191">
        <f>Z24+V24+R24</f>
        <v>0</v>
      </c>
      <c r="AB24" s="191">
        <f>AA24+N24</f>
        <v>0</v>
      </c>
      <c r="AC24" s="7"/>
      <c r="AD24" s="7"/>
      <c r="AE24" s="7"/>
      <c r="AF24" s="3">
        <f>SUM(AC24:AE24)*-1</f>
        <v>0</v>
      </c>
      <c r="AG24" s="65">
        <v>0</v>
      </c>
      <c r="AH24" s="65">
        <v>0</v>
      </c>
      <c r="AI24" s="65">
        <v>0</v>
      </c>
      <c r="AJ24" s="3">
        <f>SUM(AG24:AI24)*-1</f>
        <v>0</v>
      </c>
      <c r="AK24" s="65">
        <v>0</v>
      </c>
      <c r="AL24" s="65">
        <v>0</v>
      </c>
      <c r="AM24" s="65">
        <v>0</v>
      </c>
      <c r="AN24" s="3">
        <f>SUM(AK24:AM24)*-1</f>
        <v>0</v>
      </c>
      <c r="AO24" s="159">
        <f>AN24+AJ24+AF24</f>
        <v>0</v>
      </c>
      <c r="AP24" s="3">
        <f>AO24+AB24</f>
        <v>0</v>
      </c>
      <c r="AQ24" s="7"/>
      <c r="AR24" s="7"/>
      <c r="AS24" s="7"/>
      <c r="AT24" s="3">
        <f>SUM(AQ24:AS24)*-1</f>
        <v>0</v>
      </c>
      <c r="AU24" s="65">
        <v>0</v>
      </c>
      <c r="AV24" s="65">
        <v>0</v>
      </c>
      <c r="AW24" s="65">
        <v>0</v>
      </c>
      <c r="AX24" s="3">
        <f>SUM(AU24:AW24)*-1</f>
        <v>0</v>
      </c>
      <c r="AY24" s="65">
        <v>0</v>
      </c>
      <c r="AZ24" s="65">
        <v>0</v>
      </c>
      <c r="BA24" s="65">
        <v>0</v>
      </c>
      <c r="BB24" s="3">
        <f>SUM(AY24:BA24)*-1</f>
        <v>0</v>
      </c>
      <c r="BC24" s="159">
        <f>BB24+AX24+AT24</f>
        <v>0</v>
      </c>
      <c r="BD24" s="3"/>
    </row>
    <row r="25" spans="1:56" ht="15">
      <c r="A25" s="187"/>
      <c r="B25" s="169"/>
      <c r="C25" s="169"/>
      <c r="D25" s="169"/>
      <c r="E25" s="242"/>
      <c r="F25" s="242"/>
      <c r="G25" s="242"/>
      <c r="H25" s="242"/>
      <c r="I25" s="193"/>
      <c r="J25" s="242"/>
      <c r="K25" s="242"/>
      <c r="L25" s="242"/>
      <c r="M25" s="193"/>
      <c r="N25" s="191"/>
      <c r="O25" s="7"/>
      <c r="P25" s="7"/>
      <c r="Q25" s="25"/>
      <c r="R25" s="191"/>
      <c r="S25" s="67"/>
      <c r="T25" s="67"/>
      <c r="U25" s="67"/>
      <c r="V25" s="191"/>
      <c r="W25" s="67"/>
      <c r="X25" s="67"/>
      <c r="Y25" s="67"/>
      <c r="Z25" s="191"/>
      <c r="AA25" s="191"/>
      <c r="AB25" s="191"/>
      <c r="AC25" s="7"/>
      <c r="AD25" s="7"/>
      <c r="AE25" s="7"/>
      <c r="AF25" s="3"/>
      <c r="AG25" s="65"/>
      <c r="AH25" s="65"/>
      <c r="AI25" s="65"/>
      <c r="AJ25" s="3"/>
      <c r="AK25" s="65"/>
      <c r="AL25" s="65"/>
      <c r="AM25" s="65"/>
      <c r="AN25" s="3"/>
      <c r="AO25" s="159"/>
      <c r="AP25" s="3"/>
      <c r="AQ25" s="7"/>
      <c r="AR25" s="7"/>
      <c r="AS25" s="7"/>
      <c r="AT25" s="3"/>
      <c r="AU25" s="65"/>
      <c r="AV25" s="65"/>
      <c r="AW25" s="65"/>
      <c r="AX25" s="3"/>
      <c r="AY25" s="65"/>
      <c r="AZ25" s="65"/>
      <c r="BA25" s="65"/>
      <c r="BB25" s="3"/>
      <c r="BC25" s="159"/>
      <c r="BD25" s="3"/>
    </row>
    <row r="26" spans="1:56" ht="15">
      <c r="A26" s="187" t="s">
        <v>26</v>
      </c>
      <c r="B26" s="169"/>
      <c r="C26" s="169"/>
      <c r="D26" s="169"/>
      <c r="E26" s="242">
        <f>SUM(B26:D26)*-1</f>
        <v>0</v>
      </c>
      <c r="F26" s="242"/>
      <c r="G26" s="242"/>
      <c r="H26" s="242"/>
      <c r="I26" s="193">
        <f>SUM(F26:H26)*-1</f>
        <v>0</v>
      </c>
      <c r="J26" s="242"/>
      <c r="K26" s="242"/>
      <c r="L26" s="242"/>
      <c r="M26" s="193">
        <f>SUM(J26:L26)*-1</f>
        <v>0</v>
      </c>
      <c r="N26" s="191">
        <f>E26+I26+M26</f>
        <v>0</v>
      </c>
      <c r="O26" s="7"/>
      <c r="P26" s="7"/>
      <c r="Q26" s="25"/>
      <c r="R26" s="191">
        <f>SUM(O26:Q26)*-1</f>
        <v>0</v>
      </c>
      <c r="S26" s="67"/>
      <c r="T26" s="67"/>
      <c r="U26" s="67"/>
      <c r="V26" s="191">
        <f>SUM(S26:U26)*-1</f>
        <v>0</v>
      </c>
      <c r="W26" s="67"/>
      <c r="X26" s="67"/>
      <c r="Y26" s="67"/>
      <c r="Z26" s="191"/>
      <c r="AA26" s="191">
        <f>Z26+V26+R26</f>
        <v>0</v>
      </c>
      <c r="AB26" s="191">
        <f>AA26+N26</f>
        <v>0</v>
      </c>
      <c r="AC26" s="7"/>
      <c r="AD26" s="7"/>
      <c r="AE26" s="7"/>
      <c r="AF26" s="3">
        <f>SUM(AC26:AE26)*-1</f>
        <v>0</v>
      </c>
      <c r="AG26" s="65">
        <v>0</v>
      </c>
      <c r="AH26" s="65">
        <v>0</v>
      </c>
      <c r="AI26" s="65">
        <v>0</v>
      </c>
      <c r="AJ26" s="3">
        <f>SUM(AG26:AI26)*-1</f>
        <v>0</v>
      </c>
      <c r="AK26" s="65">
        <v>0</v>
      </c>
      <c r="AL26" s="65">
        <v>0</v>
      </c>
      <c r="AM26" s="65">
        <v>0</v>
      </c>
      <c r="AN26" s="3">
        <f>SUM(AK26:AM26)*-1</f>
        <v>0</v>
      </c>
      <c r="AO26" s="159">
        <f>AN26+AJ26+AF26</f>
        <v>0</v>
      </c>
      <c r="AP26" s="3">
        <f>AO26+AB26</f>
        <v>0</v>
      </c>
      <c r="AQ26" s="7"/>
      <c r="AR26" s="7"/>
      <c r="AS26" s="7"/>
      <c r="AT26" s="3">
        <f>SUM(AQ26:AS26)*-1</f>
        <v>0</v>
      </c>
      <c r="AU26" s="65">
        <v>0</v>
      </c>
      <c r="AV26" s="65">
        <v>0</v>
      </c>
      <c r="AW26" s="65">
        <v>0</v>
      </c>
      <c r="AX26" s="3">
        <f>SUM(AU26:AW26)*-1</f>
        <v>0</v>
      </c>
      <c r="AY26" s="65">
        <v>0</v>
      </c>
      <c r="AZ26" s="65">
        <v>0</v>
      </c>
      <c r="BA26" s="65">
        <v>0</v>
      </c>
      <c r="BB26" s="3">
        <f>SUM(AY26:BA26)*-1</f>
        <v>0</v>
      </c>
      <c r="BC26" s="159">
        <f>BB26+AX26+AT26</f>
        <v>0</v>
      </c>
      <c r="BD26" s="3"/>
    </row>
    <row r="27" spans="1:56" ht="15">
      <c r="A27" s="187"/>
      <c r="B27" s="169"/>
      <c r="C27" s="169"/>
      <c r="D27" s="169"/>
      <c r="E27" s="242"/>
      <c r="F27" s="242"/>
      <c r="G27" s="242"/>
      <c r="H27" s="242"/>
      <c r="I27" s="193"/>
      <c r="J27" s="242"/>
      <c r="K27" s="242"/>
      <c r="L27" s="242"/>
      <c r="M27" s="193"/>
      <c r="N27" s="191"/>
      <c r="O27" s="7"/>
      <c r="P27" s="7"/>
      <c r="Q27" s="25"/>
      <c r="R27" s="191"/>
      <c r="S27" s="67"/>
      <c r="T27" s="67"/>
      <c r="U27" s="67"/>
      <c r="V27" s="191"/>
      <c r="W27" s="67"/>
      <c r="X27" s="67"/>
      <c r="Y27" s="67"/>
      <c r="Z27" s="191"/>
      <c r="AA27" s="191"/>
      <c r="AB27" s="191"/>
      <c r="AC27" s="7"/>
      <c r="AD27" s="7"/>
      <c r="AE27" s="7"/>
      <c r="AF27" s="3"/>
      <c r="AG27" s="65"/>
      <c r="AH27" s="65"/>
      <c r="AI27" s="65"/>
      <c r="AJ27" s="3"/>
      <c r="AK27" s="65"/>
      <c r="AL27" s="65"/>
      <c r="AM27" s="65"/>
      <c r="AN27" s="3"/>
      <c r="AO27" s="159"/>
      <c r="AP27" s="3"/>
      <c r="AQ27" s="7"/>
      <c r="AR27" s="7"/>
      <c r="AS27" s="7"/>
      <c r="AT27" s="3"/>
      <c r="AU27" s="65"/>
      <c r="AV27" s="65"/>
      <c r="AW27" s="65"/>
      <c r="AX27" s="3"/>
      <c r="AY27" s="65"/>
      <c r="AZ27" s="65"/>
      <c r="BA27" s="65"/>
      <c r="BB27" s="3"/>
      <c r="BC27" s="159"/>
      <c r="BD27" s="3"/>
    </row>
    <row r="28" spans="1:56" ht="15">
      <c r="A28" s="187" t="s">
        <v>28</v>
      </c>
      <c r="B28" s="241">
        <f>'[1]Sheet1'!$B$14</f>
        <v>-4781.8340020000005</v>
      </c>
      <c r="C28" s="241">
        <f>'[1]Sheet1'!$C$14</f>
        <v>-8721.463243</v>
      </c>
      <c r="D28" s="241">
        <f>'[1]Sheet1'!$D$14</f>
        <v>-7455.90196825</v>
      </c>
      <c r="E28" s="242">
        <f>SUM(B28:D28)*-1</f>
        <v>20959.19921325</v>
      </c>
      <c r="F28" s="242">
        <f>'[1]Sheet1'!$B$15</f>
        <v>-260.953902</v>
      </c>
      <c r="G28" s="242">
        <f>'[1]Sheet1'!$C$15</f>
        <v>-1087.097922</v>
      </c>
      <c r="H28" s="242">
        <f>'[1]Sheet1'!$D$15</f>
        <v>-284.200906</v>
      </c>
      <c r="I28" s="193">
        <f>SUM(F28:H28)*-1</f>
        <v>1632.25273</v>
      </c>
      <c r="J28" s="242">
        <f>'[1]Sheet1'!$B$16</f>
        <v>-4520.8801</v>
      </c>
      <c r="K28" s="242">
        <f>'[1]Sheet1'!$C$16</f>
        <v>-4898.783</v>
      </c>
      <c r="L28" s="242">
        <f>'[1]Sheet1'!$D$16</f>
        <v>-7135.70106225</v>
      </c>
      <c r="M28" s="193">
        <f>SUM(J28:L28)*-1</f>
        <v>16555.36416225</v>
      </c>
      <c r="N28" s="191">
        <f>E28+I28+M28</f>
        <v>39146.8161055</v>
      </c>
      <c r="O28" s="64">
        <f>'[1]Sheet1'!$F$15</f>
        <v>-142.572765</v>
      </c>
      <c r="P28" s="64">
        <f>'[1]Sheet1'!$G$15</f>
        <v>0</v>
      </c>
      <c r="Q28" s="120">
        <f>'[1]Sheet1'!$H$15</f>
        <v>0</v>
      </c>
      <c r="R28" s="191">
        <f>SUM(O28:Q28)*-1</f>
        <v>142.572765</v>
      </c>
      <c r="S28" s="67">
        <f>'[1]Sheet1'!$F$16</f>
        <v>-517.229</v>
      </c>
      <c r="T28" s="67">
        <f>'[1]Sheet1'!$G$16</f>
        <v>-28.99</v>
      </c>
      <c r="U28" s="67">
        <f>'[1]Sheet1'!$H$16</f>
        <v>0</v>
      </c>
      <c r="V28" s="191">
        <f>SUM(S28:U28)*-1</f>
        <v>546.219</v>
      </c>
      <c r="W28" s="67">
        <f>'[1]Sheet1'!$F$17+'[4]Sheet1'!$F$6</f>
        <v>-240</v>
      </c>
      <c r="X28" s="67">
        <f>'[1]Sheet1'!$G$17+'[4]Sheet1'!$G$6</f>
        <v>0</v>
      </c>
      <c r="Y28" s="67">
        <f>'[1]Sheet1'!$H$17+'[4]Sheet1'!$H$6</f>
        <v>0</v>
      </c>
      <c r="Z28" s="191">
        <f>SUM(W28:Y28)*-1</f>
        <v>240</v>
      </c>
      <c r="AA28" s="191">
        <f>Z28+V28+R28</f>
        <v>928.791765</v>
      </c>
      <c r="AB28" s="191">
        <f>AA28+N28</f>
        <v>40075.6078705</v>
      </c>
      <c r="AC28" s="64">
        <f>'[5]Sheet1'!$B$15</f>
        <v>-260.953902</v>
      </c>
      <c r="AD28" s="64">
        <f>'[5]Sheet1'!$C$15</f>
        <v>-1087.097922</v>
      </c>
      <c r="AE28" s="64">
        <f>'[5]Sheet1'!$D$15</f>
        <v>-284.200906</v>
      </c>
      <c r="AF28" s="3">
        <f>SUM(AC28:AE28)*-1</f>
        <v>1632.25273</v>
      </c>
      <c r="AG28" s="65">
        <f>'[5]Sheet1'!$B$16+'[6]Sheet1'!$B$6</f>
        <v>-4520.8801</v>
      </c>
      <c r="AH28" s="65">
        <f>'[5]Sheet1'!$C$16+'[6]Sheet1'!$C$6</f>
        <v>-4898.783</v>
      </c>
      <c r="AI28" s="65">
        <f>'[5]Sheet1'!$D$16+'[6]Sheet1'!$D$6</f>
        <v>-7135.70106225</v>
      </c>
      <c r="AJ28" s="3">
        <f>SUM(AG28:AI28)*-1</f>
        <v>16555.36416225</v>
      </c>
      <c r="AK28" s="65">
        <f>'[5]Sheet1'!$B$17+'[6]Sheet1'!$B$6</f>
        <v>0</v>
      </c>
      <c r="AL28" s="65">
        <f>'[5]Sheet1'!$C$17+'[6]Sheet1'!$C$6</f>
        <v>-2735.5823210000003</v>
      </c>
      <c r="AM28" s="65">
        <f>'[5]Sheet1'!$D$17+'[6]Sheet1'!$D$6</f>
        <v>-36</v>
      </c>
      <c r="AN28" s="3">
        <f>SUM(AK28:AM28)*-1</f>
        <v>2771.5823210000003</v>
      </c>
      <c r="AO28" s="159">
        <f>AN28+AJ28+AF28</f>
        <v>20959.19921325</v>
      </c>
      <c r="AP28" s="3">
        <f>AO28+AB28</f>
        <v>61034.807083750005</v>
      </c>
      <c r="AQ28" s="64">
        <f>'[5]Sheet1'!$F$15</f>
        <v>-142.572765</v>
      </c>
      <c r="AR28" s="64">
        <f>'[5]Sheet1'!$G$15</f>
        <v>0</v>
      </c>
      <c r="AS28" s="64">
        <f>'[5]Sheet1'!$H$15</f>
        <v>0</v>
      </c>
      <c r="AT28" s="3">
        <f>SUM(AQ28:AS28)*-1</f>
        <v>142.572765</v>
      </c>
      <c r="AU28" s="65">
        <f>'[5]Sheet1'!$F$16</f>
        <v>-517.2289999999999</v>
      </c>
      <c r="AV28" s="65">
        <f>'[5]Sheet1'!$G$16</f>
        <v>-28.99</v>
      </c>
      <c r="AW28" s="65">
        <f>'[5]Sheet1'!$H$16</f>
        <v>0</v>
      </c>
      <c r="AX28" s="3">
        <f>SUM(AU28:AW28)*-1</f>
        <v>546.2189999999999</v>
      </c>
      <c r="AY28" s="65">
        <f>'[5]Sheet1'!$F$17+'[6]Sheet1'!$F$6</f>
        <v>-240</v>
      </c>
      <c r="AZ28" s="65">
        <f>'[5]Sheet1'!$G$17+'[6]Sheet1'!$G$6</f>
        <v>0</v>
      </c>
      <c r="BA28" s="65">
        <f>'[5]Sheet1'!$H$17+'[6]Sheet1'!$H$6</f>
        <v>0</v>
      </c>
      <c r="BB28" s="3">
        <f>SUM(AY28:BA28)*-1</f>
        <v>240</v>
      </c>
      <c r="BC28" s="159">
        <f>BB28+AX28+AT28</f>
        <v>928.7917649999999</v>
      </c>
      <c r="BD28" s="3">
        <f>BC28+AO28+AA28+N28</f>
        <v>61963.59884875001</v>
      </c>
    </row>
    <row r="29" spans="1:56" ht="15">
      <c r="A29" s="187"/>
      <c r="B29" s="169"/>
      <c r="C29" s="169"/>
      <c r="D29" s="169"/>
      <c r="E29" s="242"/>
      <c r="F29" s="242"/>
      <c r="G29" s="242"/>
      <c r="H29" s="242"/>
      <c r="I29" s="193"/>
      <c r="J29" s="242"/>
      <c r="K29" s="242"/>
      <c r="L29" s="242"/>
      <c r="M29" s="193"/>
      <c r="N29" s="191"/>
      <c r="O29" s="7"/>
      <c r="P29" s="7"/>
      <c r="Q29" s="25"/>
      <c r="R29" s="191"/>
      <c r="S29" s="67"/>
      <c r="T29" s="67"/>
      <c r="U29" s="67"/>
      <c r="V29" s="191"/>
      <c r="W29" s="67"/>
      <c r="X29" s="67"/>
      <c r="Y29" s="67"/>
      <c r="Z29" s="191"/>
      <c r="AA29" s="191"/>
      <c r="AB29" s="191"/>
      <c r="AC29" s="7"/>
      <c r="AD29" s="7"/>
      <c r="AE29" s="7"/>
      <c r="AF29" s="3"/>
      <c r="AG29" s="65"/>
      <c r="AH29" s="65"/>
      <c r="AI29" s="65"/>
      <c r="AJ29" s="3"/>
      <c r="AK29" s="65"/>
      <c r="AL29" s="65"/>
      <c r="AM29" s="65"/>
      <c r="AN29" s="3"/>
      <c r="AO29" s="159"/>
      <c r="AP29" s="3"/>
      <c r="AQ29" s="7"/>
      <c r="AR29" s="7"/>
      <c r="AS29" s="7"/>
      <c r="AT29" s="3"/>
      <c r="AU29" s="65"/>
      <c r="AV29" s="65"/>
      <c r="AW29" s="65"/>
      <c r="AX29" s="3"/>
      <c r="AY29" s="65"/>
      <c r="AZ29" s="65"/>
      <c r="BA29" s="65"/>
      <c r="BB29" s="3"/>
      <c r="BC29" s="159"/>
      <c r="BD29" s="3"/>
    </row>
    <row r="30" spans="1:56" ht="15">
      <c r="A30" s="187" t="s">
        <v>30</v>
      </c>
      <c r="B30" s="241">
        <f>'[1]Sheet1'!$B$3</f>
        <v>-19973.541755619997</v>
      </c>
      <c r="C30" s="241">
        <f>'[1]Sheet1'!$C$3+'[4]Sheet1'!$C$3+'[9]Sheet1'!$C$3</f>
        <v>-30746.525277</v>
      </c>
      <c r="D30" s="241">
        <f>'[1]Sheet1'!$D$3+'[4]Sheet1'!$D$3+'[9]Sheet1'!$D$3</f>
        <v>-21660.035683090002</v>
      </c>
      <c r="E30" s="242">
        <f>SUM(B30:D30)*-1</f>
        <v>72380.10271571</v>
      </c>
      <c r="F30" s="243">
        <f>'[1]Sheet1'!$B$4</f>
        <v>-4946.68951969</v>
      </c>
      <c r="G30" s="243">
        <f>'[1]Sheet1'!$C$4+'[4]Sheet1'!$C$4+'[9]Sheet1'!$C$4</f>
        <v>-3684.9827537100005</v>
      </c>
      <c r="H30" s="243">
        <f>'[1]Sheet1'!$D$4+'[9]Sheet1'!$D$4+'[4]Sheet1'!$D$4</f>
        <v>-7337.604532399999</v>
      </c>
      <c r="I30" s="193">
        <f>SUM(F30:H30)*-1</f>
        <v>15969.2768058</v>
      </c>
      <c r="J30" s="242">
        <f>'[1]Sheet1'!$B$5</f>
        <v>0</v>
      </c>
      <c r="K30" s="242">
        <f>'[1]Sheet1'!$C$5</f>
        <v>-3965.1523100000004</v>
      </c>
      <c r="L30" s="242">
        <f>'[1]Sheet1'!$D$5</f>
        <v>-1081.482</v>
      </c>
      <c r="M30" s="193">
        <f>SUM(J30:L30)*-1</f>
        <v>5046.63431</v>
      </c>
      <c r="N30" s="191">
        <f>E30+I30+M30</f>
        <v>93396.01383151</v>
      </c>
      <c r="O30" s="120">
        <f>'[1]Sheet1'!$F$3+'[4]Sheet1'!$F$3</f>
        <v>-29475.155908739995</v>
      </c>
      <c r="P30" s="120">
        <f>'[1]Sheet1'!$G$3+'[4]Sheet1'!$G$3</f>
        <v>-801.274347</v>
      </c>
      <c r="Q30" s="120">
        <f>'[1]Sheet1'!$H$3+'[4]Sheet1'!$H$3</f>
        <v>0</v>
      </c>
      <c r="R30" s="191">
        <f>SUM(O30:Q30)*-1</f>
        <v>30276.430255739993</v>
      </c>
      <c r="S30" s="120">
        <f>'[1]Sheet1'!$F$4+'[4]Sheet1'!$F$4</f>
        <v>-23010.233179059996</v>
      </c>
      <c r="T30" s="120">
        <f>'[1]Sheet1'!$G$4+'[4]Sheet1'!$G$4</f>
        <v>-198.646679</v>
      </c>
      <c r="U30" s="120">
        <f>'[1]Sheet1'!$H$4+'[4]Sheet1'!$H$4</f>
        <v>0</v>
      </c>
      <c r="V30" s="191">
        <f>SUM(S30:U30)*-1</f>
        <v>23208.879858059998</v>
      </c>
      <c r="W30" s="67">
        <f>'[1]Sheet1'!$F$5</f>
        <v>-1032.083451</v>
      </c>
      <c r="X30" s="67">
        <f>'[1]Sheet1'!$G$5</f>
        <v>0</v>
      </c>
      <c r="Y30" s="67">
        <f>'[1]Sheet1'!$H$5</f>
        <v>0</v>
      </c>
      <c r="Z30" s="191">
        <f>SUM(W30:Y30)*-1</f>
        <v>1032.083451</v>
      </c>
      <c r="AA30" s="191">
        <f>Z30+V30+R30</f>
        <v>54517.39356479999</v>
      </c>
      <c r="AB30" s="191">
        <f>AA30+N30</f>
        <v>147913.40739631</v>
      </c>
      <c r="AC30" s="64">
        <f>'[5]Sheet1'!$B$3+'[6]Sheet1'!$B$3+'[8]Sheet1'!$B$3</f>
        <v>-21589.202342619996</v>
      </c>
      <c r="AD30" s="64">
        <f>'[5]Sheet1'!$C$3+'[6]Sheet1'!$C$3+'[8]Sheet1'!$C$3</f>
        <v>-19417.216357999998</v>
      </c>
      <c r="AE30" s="64">
        <f>'[5]Sheet1'!$D$3+'[6]Sheet1'!$D$3+'[8]Sheet1'!$D$3</f>
        <v>-20279.549288090002</v>
      </c>
      <c r="AF30" s="3">
        <f>SUM(AC30:AE30)*-1</f>
        <v>61285.96798870999</v>
      </c>
      <c r="AG30" s="65">
        <f>'[5]Sheet1'!$B$4+'[6]Sheet1'!$B$4</f>
        <v>-4946.6895196899995</v>
      </c>
      <c r="AH30" s="65">
        <f>'[5]Sheet1'!$C$4+'[6]Sheet1'!$C$4</f>
        <v>-2647.39034011</v>
      </c>
      <c r="AI30" s="65">
        <f>'[5]Sheet1'!$D$4+'[6]Sheet1'!$D$4</f>
        <v>-15467.3738424</v>
      </c>
      <c r="AJ30" s="3">
        <f>SUM(AG30:AI30)*-1</f>
        <v>23061.4537022</v>
      </c>
      <c r="AK30" s="65">
        <f>'[5]Sheet1'!$B$5</f>
        <v>0</v>
      </c>
      <c r="AL30" s="65">
        <f>'[5]Sheet1'!$C$5</f>
        <v>-3965.1523100000004</v>
      </c>
      <c r="AM30" s="65">
        <f>'[5]Sheet1'!$D$5</f>
        <v>-1081.482</v>
      </c>
      <c r="AN30" s="3">
        <f>SUM(AK30:AM30)*-1</f>
        <v>5046.63431</v>
      </c>
      <c r="AO30" s="159">
        <f>AN30+AJ30+AF30</f>
        <v>89394.05600091</v>
      </c>
      <c r="AP30" s="3">
        <f>AO30+AB30-1</f>
        <v>237306.46339722</v>
      </c>
      <c r="AQ30" s="64">
        <f>'[5]Sheet1'!$F$3+'[6]Sheet1'!$F$3+'[8]Sheet1'!$F$3</f>
        <v>-21429.798043739997</v>
      </c>
      <c r="AR30" s="64">
        <f>'[5]Sheet1'!$G$3+'[6]Sheet1'!$G$3+'[8]Sheet1'!$G$3</f>
        <v>-424.820159</v>
      </c>
      <c r="AS30" s="64">
        <f>'[5]Sheet1'!$H$3+'[6]Sheet1'!$H$3+'[8]Sheet1'!$H$3</f>
        <v>0</v>
      </c>
      <c r="AT30" s="3">
        <f>SUM(AQ30:AS30)*-1</f>
        <v>21854.618202739995</v>
      </c>
      <c r="AU30" s="65">
        <f>'[5]Sheet1'!$F$4+'[6]Sheet1'!$F$4</f>
        <v>-12379.16849006</v>
      </c>
      <c r="AV30" s="65">
        <f>'[5]Sheet1'!$G$4+'[6]Sheet1'!$G$4</f>
        <v>-198.646679</v>
      </c>
      <c r="AW30" s="65">
        <f>'[5]Sheet1'!$H$4+'[6]Sheet1'!$H$4</f>
        <v>0</v>
      </c>
      <c r="AX30" s="3">
        <f>SUM(AU30:AW30)*-1</f>
        <v>12577.815169059999</v>
      </c>
      <c r="AY30" s="65">
        <f>'[5]Sheet1'!$F$5</f>
        <v>-1032.083451</v>
      </c>
      <c r="AZ30" s="65">
        <f>'[5]Sheet1'!$G$5</f>
        <v>0</v>
      </c>
      <c r="BA30" s="65">
        <f>'[5]Sheet1'!$H$5</f>
        <v>0</v>
      </c>
      <c r="BB30" s="3">
        <f>SUM(AY30:BA30)*-1</f>
        <v>1032.083451</v>
      </c>
      <c r="BC30" s="159">
        <f>BB30+AX30+AT30</f>
        <v>35464.5168228</v>
      </c>
      <c r="BD30" s="3">
        <f>BC30+AO30+AA30+N30</f>
        <v>272771.98022002</v>
      </c>
    </row>
    <row r="31" spans="1:56" ht="12" customHeight="1">
      <c r="A31" s="187"/>
      <c r="B31" s="169"/>
      <c r="C31" s="169"/>
      <c r="D31" s="169"/>
      <c r="E31" s="242"/>
      <c r="F31" s="242"/>
      <c r="G31" s="242"/>
      <c r="H31" s="242"/>
      <c r="I31" s="193"/>
      <c r="J31" s="242"/>
      <c r="K31" s="242"/>
      <c r="L31" s="242"/>
      <c r="M31" s="193"/>
      <c r="N31" s="191"/>
      <c r="O31" s="28"/>
      <c r="P31" s="28"/>
      <c r="Q31" s="28"/>
      <c r="R31" s="191"/>
      <c r="S31" s="67"/>
      <c r="T31" s="67"/>
      <c r="U31" s="67"/>
      <c r="V31" s="191"/>
      <c r="W31" s="67"/>
      <c r="X31" s="25"/>
      <c r="Y31" s="25"/>
      <c r="Z31" s="25"/>
      <c r="AA31" s="18"/>
      <c r="AB31" s="18"/>
      <c r="AC31" s="25"/>
      <c r="AD31" s="25"/>
      <c r="AE31" s="25"/>
      <c r="AF31" s="115"/>
      <c r="AJ31" s="44"/>
      <c r="AK31" s="65"/>
      <c r="AN31" s="44"/>
      <c r="AO31" s="146"/>
      <c r="AP31" s="18"/>
      <c r="AQ31" s="25"/>
      <c r="AR31" s="25"/>
      <c r="AS31" s="25"/>
      <c r="AT31" s="115"/>
      <c r="AU31" s="7"/>
      <c r="AV31" s="7"/>
      <c r="AW31" s="7"/>
      <c r="AX31" s="44"/>
      <c r="AY31" s="3"/>
      <c r="AZ31" s="3"/>
      <c r="BA31" s="3"/>
      <c r="BB31" s="3"/>
      <c r="BC31" s="146"/>
      <c r="BD31" s="261"/>
    </row>
    <row r="32" spans="1:56" ht="15" hidden="1">
      <c r="A32" s="187" t="s">
        <v>31</v>
      </c>
      <c r="B32" s="169"/>
      <c r="C32" s="169"/>
      <c r="D32" s="169"/>
      <c r="E32" s="244">
        <f>SUM(B32:D32)*-1</f>
        <v>0</v>
      </c>
      <c r="F32" s="244"/>
      <c r="G32" s="244"/>
      <c r="H32" s="244"/>
      <c r="I32" s="191">
        <f>SUM(F32:H32)*-1</f>
        <v>0</v>
      </c>
      <c r="J32" s="244"/>
      <c r="K32" s="244"/>
      <c r="L32" s="244"/>
      <c r="M32" s="192">
        <f>SUM(J32:L32)*-1</f>
        <v>0</v>
      </c>
      <c r="N32" s="191">
        <f>E32+I32+M32</f>
        <v>0</v>
      </c>
      <c r="O32" s="28"/>
      <c r="P32" s="28"/>
      <c r="Q32" s="28"/>
      <c r="R32" s="115">
        <f>SUM(O32:Q32)*-1</f>
        <v>0</v>
      </c>
      <c r="S32" s="7"/>
      <c r="T32" s="7"/>
      <c r="U32" s="7"/>
      <c r="V32" s="116">
        <f>SUM(S32:U32)*-1</f>
        <v>0</v>
      </c>
      <c r="W32" s="65"/>
      <c r="X32" s="7"/>
      <c r="Y32" s="7"/>
      <c r="Z32" s="134">
        <f>SUM(W32:Y32)*-1</f>
        <v>0</v>
      </c>
      <c r="AA32" s="117">
        <f>Z32+V32+R32</f>
        <v>0</v>
      </c>
      <c r="AB32" s="117">
        <f>AA32+N32</f>
        <v>0</v>
      </c>
      <c r="AC32" s="120"/>
      <c r="AD32" s="120"/>
      <c r="AE32" s="120"/>
      <c r="AF32" s="115"/>
      <c r="AJ32" s="116"/>
      <c r="AK32" s="65"/>
      <c r="AN32" s="115"/>
      <c r="AO32" s="160"/>
      <c r="AP32" s="117"/>
      <c r="AQ32" s="117"/>
      <c r="AR32" s="117"/>
      <c r="AS32" s="117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</row>
    <row r="33" spans="1:56" ht="15" hidden="1">
      <c r="A33" s="245"/>
      <c r="B33" s="169"/>
      <c r="C33" s="169"/>
      <c r="D33" s="169"/>
      <c r="E33" s="244"/>
      <c r="F33" s="244"/>
      <c r="G33" s="244"/>
      <c r="H33" s="244"/>
      <c r="I33" s="191"/>
      <c r="J33" s="244"/>
      <c r="K33" s="244"/>
      <c r="L33" s="244"/>
      <c r="M33" s="192"/>
      <c r="N33" s="191"/>
      <c r="O33" s="28"/>
      <c r="P33" s="28"/>
      <c r="Q33" s="28"/>
      <c r="R33" s="115"/>
      <c r="S33" s="7"/>
      <c r="T33" s="7"/>
      <c r="U33" s="7"/>
      <c r="V33" s="44"/>
      <c r="W33" s="7"/>
      <c r="X33" s="7"/>
      <c r="Y33" s="7"/>
      <c r="Z33" s="25"/>
      <c r="AA33" s="12"/>
      <c r="AB33" s="12"/>
      <c r="AC33" s="25"/>
      <c r="AD33" s="25"/>
      <c r="AE33" s="25"/>
      <c r="AF33" s="118"/>
      <c r="AJ33" s="46"/>
      <c r="AK33" s="65"/>
      <c r="AN33" s="46"/>
      <c r="AO33" s="147"/>
      <c r="AP33" s="12"/>
      <c r="AQ33" s="18"/>
      <c r="AR33" s="18"/>
      <c r="AS33" s="18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</row>
    <row r="34" spans="1:56" ht="16.5" thickBot="1">
      <c r="A34" s="246" t="s">
        <v>32</v>
      </c>
      <c r="B34" s="247">
        <f aca="true" t="shared" si="0" ref="B34:N34">SUM(B12:B33)</f>
        <v>-53578.502863099995</v>
      </c>
      <c r="C34" s="247">
        <f t="shared" si="0"/>
        <v>-74802.70132992</v>
      </c>
      <c r="D34" s="247">
        <f t="shared" si="0"/>
        <v>-80586.67335261</v>
      </c>
      <c r="E34" s="248">
        <f t="shared" si="0"/>
        <v>208967.87754562998</v>
      </c>
      <c r="F34" s="247">
        <f t="shared" si="0"/>
        <v>-23046.593371739997</v>
      </c>
      <c r="G34" s="247">
        <f t="shared" si="0"/>
        <v>-24293.344678710004</v>
      </c>
      <c r="H34" s="247">
        <f t="shared" si="0"/>
        <v>-28690.11522739999</v>
      </c>
      <c r="I34" s="247">
        <f t="shared" si="0"/>
        <v>76030.05327784999</v>
      </c>
      <c r="J34" s="247">
        <f t="shared" si="0"/>
        <v>-11459.28061248</v>
      </c>
      <c r="K34" s="247">
        <f t="shared" si="0"/>
        <v>-22341.07380565</v>
      </c>
      <c r="L34" s="247">
        <f t="shared" si="0"/>
        <v>-52397.77418942</v>
      </c>
      <c r="M34" s="247">
        <f t="shared" si="0"/>
        <v>86198.12860755</v>
      </c>
      <c r="N34" s="246">
        <f t="shared" si="0"/>
        <v>371196.05943102995</v>
      </c>
      <c r="O34" s="66">
        <f aca="true" t="shared" si="1" ref="O34:AJ34">SUM(O12:O33)</f>
        <v>-43023.81444873999</v>
      </c>
      <c r="P34" s="66">
        <f t="shared" si="1"/>
        <v>-889.8743470000001</v>
      </c>
      <c r="Q34" s="66">
        <f t="shared" si="1"/>
        <v>0</v>
      </c>
      <c r="R34" s="246">
        <f t="shared" si="1"/>
        <v>43913.68879573999</v>
      </c>
      <c r="S34" s="66" t="e">
        <f t="shared" si="1"/>
        <v>#REF!</v>
      </c>
      <c r="T34" s="66" t="e">
        <f t="shared" si="1"/>
        <v>#REF!</v>
      </c>
      <c r="U34" s="66" t="e">
        <f t="shared" si="1"/>
        <v>#REF!</v>
      </c>
      <c r="V34" s="246" t="e">
        <f t="shared" si="1"/>
        <v>#REF!</v>
      </c>
      <c r="W34" s="66">
        <f t="shared" si="1"/>
        <v>-103117.86388221</v>
      </c>
      <c r="X34" s="66">
        <f t="shared" si="1"/>
        <v>-2677.276658</v>
      </c>
      <c r="Y34" s="66">
        <f t="shared" si="1"/>
        <v>0</v>
      </c>
      <c r="Z34" s="246">
        <f t="shared" si="1"/>
        <v>105573.26860521</v>
      </c>
      <c r="AA34" s="246" t="e">
        <f>SUM(AA12:AA33)</f>
        <v>#REF!</v>
      </c>
      <c r="AB34" s="246" t="e">
        <f t="shared" si="1"/>
        <v>#REF!</v>
      </c>
      <c r="AC34" s="66" t="e">
        <f t="shared" si="1"/>
        <v>#REF!</v>
      </c>
      <c r="AD34" s="66" t="e">
        <f t="shared" si="1"/>
        <v>#REF!</v>
      </c>
      <c r="AE34" s="66" t="e">
        <f t="shared" si="1"/>
        <v>#REF!</v>
      </c>
      <c r="AF34" s="66" t="e">
        <f t="shared" si="1"/>
        <v>#REF!</v>
      </c>
      <c r="AG34" s="66" t="e">
        <f t="shared" si="1"/>
        <v>#REF!</v>
      </c>
      <c r="AH34" s="66" t="e">
        <f t="shared" si="1"/>
        <v>#REF!</v>
      </c>
      <c r="AI34" s="66" t="e">
        <f t="shared" si="1"/>
        <v>#REF!</v>
      </c>
      <c r="AJ34" s="66" t="e">
        <f t="shared" si="1"/>
        <v>#REF!</v>
      </c>
      <c r="AK34" s="66" t="e">
        <f aca="true" t="shared" si="2" ref="AK34:AT34">SUM(AK12:AK33)</f>
        <v>#REF!</v>
      </c>
      <c r="AL34" s="66" t="e">
        <f t="shared" si="2"/>
        <v>#REF!</v>
      </c>
      <c r="AM34" s="66" t="e">
        <f t="shared" si="2"/>
        <v>#REF!</v>
      </c>
      <c r="AN34" s="66" t="e">
        <f t="shared" si="2"/>
        <v>#REF!</v>
      </c>
      <c r="AO34" s="80" t="e">
        <f t="shared" si="2"/>
        <v>#REF!</v>
      </c>
      <c r="AP34" s="80" t="e">
        <f t="shared" si="2"/>
        <v>#REF!</v>
      </c>
      <c r="AQ34" s="66"/>
      <c r="AR34" s="66"/>
      <c r="AS34" s="66"/>
      <c r="AT34" s="66" t="e">
        <f t="shared" si="2"/>
        <v>#REF!</v>
      </c>
      <c r="AU34" s="66" t="e">
        <f>SUM(AU12:AU33)</f>
        <v>#REF!</v>
      </c>
      <c r="AV34" s="66" t="e">
        <f>SUM(AV12:AV33)</f>
        <v>#REF!</v>
      </c>
      <c r="AW34" s="66" t="e">
        <f>SUM(AW12:AW33)</f>
        <v>#REF!</v>
      </c>
      <c r="AX34" s="66" t="e">
        <f>SUM(AX12:AX30)</f>
        <v>#REF!</v>
      </c>
      <c r="AY34" s="66"/>
      <c r="AZ34" s="66"/>
      <c r="BA34" s="66"/>
      <c r="BB34" s="66" t="e">
        <f>SUM(BB12:BB33)</f>
        <v>#REF!</v>
      </c>
      <c r="BC34" s="66" t="e">
        <f>SUM(BC12:BC33)</f>
        <v>#REF!</v>
      </c>
      <c r="BD34" s="80" t="e">
        <f>SUM(BD12:BD33)</f>
        <v>#REF!</v>
      </c>
    </row>
    <row r="35" spans="1:56" s="122" customFormat="1" ht="13.5" hidden="1" thickTop="1">
      <c r="A35" s="121"/>
      <c r="B35" s="121"/>
      <c r="C35" s="121"/>
      <c r="D35" s="121"/>
      <c r="E35" s="121">
        <f>report!G41</f>
        <v>459908.7164549901</v>
      </c>
      <c r="F35" s="121">
        <f>report!C42</f>
        <v>37179.59251725</v>
      </c>
      <c r="G35" s="121">
        <f>report!D42</f>
        <v>144570.19333483</v>
      </c>
      <c r="H35" s="121">
        <f>report!E42</f>
        <v>60680.85201937002</v>
      </c>
      <c r="I35" s="121">
        <f>report!G42</f>
        <v>304887.48787773</v>
      </c>
      <c r="J35" s="121">
        <f>report!C47</f>
        <v>48390.509111</v>
      </c>
      <c r="K35" s="121">
        <f>report!D47</f>
        <v>98135.46886602002</v>
      </c>
      <c r="L35" s="121">
        <f>report!E47</f>
        <v>44059.66848955</v>
      </c>
      <c r="M35" s="121">
        <f>report!G47</f>
        <v>155483.28123102002</v>
      </c>
      <c r="N35" s="121">
        <f>report!G48</f>
        <v>920279.48556374</v>
      </c>
      <c r="O35" s="121" t="e">
        <f>report!#REF!</f>
        <v>#REF!</v>
      </c>
      <c r="P35" s="121" t="e">
        <f>report!#REF!</f>
        <v>#REF!</v>
      </c>
      <c r="Q35" s="121" t="e">
        <f>report!#REF!</f>
        <v>#REF!</v>
      </c>
      <c r="R35" s="121" t="e">
        <f>report!#REF!</f>
        <v>#REF!</v>
      </c>
      <c r="S35" s="121" t="e">
        <f>report!#REF!</f>
        <v>#REF!</v>
      </c>
      <c r="T35" s="121" t="e">
        <f>report!#REF!</f>
        <v>#REF!</v>
      </c>
      <c r="U35" s="121" t="e">
        <f>report!#REF!</f>
        <v>#REF!</v>
      </c>
      <c r="V35" s="121" t="e">
        <f>report!#REF!</f>
        <v>#REF!</v>
      </c>
      <c r="W35" s="121" t="e">
        <f>report!#REF!</f>
        <v>#REF!</v>
      </c>
      <c r="X35" s="121" t="e">
        <f>report!#REF!</f>
        <v>#REF!</v>
      </c>
      <c r="Y35" s="121" t="e">
        <f>report!#REF!</f>
        <v>#REF!</v>
      </c>
      <c r="Z35" s="121" t="e">
        <f>report!#REF!</f>
        <v>#REF!</v>
      </c>
      <c r="AA35" s="5" t="e">
        <f>report!#REF!+report!#REF!+report!#REF!</f>
        <v>#REF!</v>
      </c>
      <c r="AB35" s="121" t="e">
        <f>report!#REF!</f>
        <v>#REF!</v>
      </c>
      <c r="AC35" s="121" t="e">
        <f>report!#REF!</f>
        <v>#REF!</v>
      </c>
      <c r="AD35" s="121" t="e">
        <f>report!#REF!</f>
        <v>#REF!</v>
      </c>
      <c r="AE35" s="121" t="e">
        <f>report!#REF!</f>
        <v>#REF!</v>
      </c>
      <c r="AF35" s="121" t="e">
        <f>report!#REF!</f>
        <v>#REF!</v>
      </c>
      <c r="AG35" s="65" t="e">
        <f>report!#REF!</f>
        <v>#REF!</v>
      </c>
      <c r="AH35" s="65" t="e">
        <f>report!#REF!</f>
        <v>#REF!</v>
      </c>
      <c r="AI35" s="65" t="e">
        <f>report!#REF!</f>
        <v>#REF!</v>
      </c>
      <c r="AJ35" s="121" t="e">
        <f>report!#REF!</f>
        <v>#REF!</v>
      </c>
      <c r="AK35" s="65" t="e">
        <f>report!#REF!</f>
        <v>#REF!</v>
      </c>
      <c r="AL35" s="65" t="e">
        <f>report!#REF!</f>
        <v>#REF!</v>
      </c>
      <c r="AM35" s="65" t="e">
        <f>report!#REF!</f>
        <v>#REF!</v>
      </c>
      <c r="AN35" s="121" t="e">
        <f>report!#REF!</f>
        <v>#REF!</v>
      </c>
      <c r="AO35" s="5" t="e">
        <f>report!#REF!+report!#REF!+report!#REF!</f>
        <v>#REF!</v>
      </c>
      <c r="AP35" s="121" t="e">
        <f>report!#REF!</f>
        <v>#REF!</v>
      </c>
      <c r="AQ35" s="121"/>
      <c r="AR35" s="121"/>
      <c r="AS35" s="121"/>
      <c r="AT35" s="122" t="e">
        <f>report!#REF!</f>
        <v>#REF!</v>
      </c>
      <c r="AX35" s="122" t="e">
        <f>report!#REF!</f>
        <v>#REF!</v>
      </c>
      <c r="BB35" s="122" t="e">
        <f>report!#REF!</f>
        <v>#REF!</v>
      </c>
      <c r="BC35" s="122" t="e">
        <f>report!#REF!</f>
        <v>#REF!</v>
      </c>
      <c r="BD35" s="122" t="e">
        <f>report!#REF!</f>
        <v>#REF!</v>
      </c>
    </row>
    <row r="36" spans="1:54" ht="13.5" hidden="1" thickTop="1">
      <c r="A36" s="1"/>
      <c r="B36" s="50">
        <f>report!C41</f>
        <v>153163.62562668003</v>
      </c>
      <c r="C36" s="50">
        <f>report!D41</f>
        <v>154223.83627362002</v>
      </c>
      <c r="D36" s="50">
        <f>report!E41</f>
        <v>33464.22031809001</v>
      </c>
      <c r="E36" s="51">
        <f>E35-E34</f>
        <v>250940.8389093601</v>
      </c>
      <c r="F36" s="51">
        <f>F35+F34</f>
        <v>14132.999145510003</v>
      </c>
      <c r="G36" s="51">
        <f>G35+G34</f>
        <v>120276.84865611998</v>
      </c>
      <c r="H36" s="51">
        <f>H35+H34</f>
        <v>31990.736791970026</v>
      </c>
      <c r="I36" s="51">
        <f>I35-I34</f>
        <v>228857.43459988</v>
      </c>
      <c r="J36" s="1"/>
      <c r="K36" s="1"/>
      <c r="L36" s="1"/>
      <c r="M36" s="5">
        <f>M34-M35</f>
        <v>-69285.15262347003</v>
      </c>
      <c r="N36" s="5">
        <f>N34-N35</f>
        <v>-549083.4261327101</v>
      </c>
      <c r="O36" s="5" t="e">
        <f>O34+O35</f>
        <v>#REF!</v>
      </c>
      <c r="P36" s="5" t="e">
        <f>P34+P35</f>
        <v>#REF!</v>
      </c>
      <c r="Q36" s="5" t="e">
        <f>Q34+Q35</f>
        <v>#REF!</v>
      </c>
      <c r="R36" s="5" t="e">
        <f>R34-R35</f>
        <v>#REF!</v>
      </c>
      <c r="S36" s="51" t="e">
        <f>S35+S34</f>
        <v>#REF!</v>
      </c>
      <c r="T36" s="51" t="e">
        <f>T35+T34</f>
        <v>#REF!</v>
      </c>
      <c r="U36" s="51" t="e">
        <f>U35+U34</f>
        <v>#REF!</v>
      </c>
      <c r="V36" s="5" t="e">
        <f>V34-V35</f>
        <v>#REF!</v>
      </c>
      <c r="W36" s="51" t="e">
        <f>W35+W34</f>
        <v>#REF!</v>
      </c>
      <c r="X36" s="51" t="e">
        <f>X35+X34</f>
        <v>#REF!</v>
      </c>
      <c r="Y36" s="51" t="e">
        <f>Y35+Y34</f>
        <v>#REF!</v>
      </c>
      <c r="Z36" s="5" t="e">
        <f>Z34-Z35</f>
        <v>#REF!</v>
      </c>
      <c r="AA36" s="5" t="e">
        <f>AA34-AA35</f>
        <v>#REF!</v>
      </c>
      <c r="AB36" s="5" t="e">
        <f>AB34-AB35</f>
        <v>#REF!</v>
      </c>
      <c r="AC36" s="5" t="e">
        <f aca="true" t="shared" si="3" ref="AC36:AL36">AC34+AC35</f>
        <v>#REF!</v>
      </c>
      <c r="AD36" s="5" t="e">
        <f t="shared" si="3"/>
        <v>#REF!</v>
      </c>
      <c r="AE36" s="5" t="e">
        <f t="shared" si="3"/>
        <v>#REF!</v>
      </c>
      <c r="AF36" s="51" t="e">
        <f t="shared" si="3"/>
        <v>#REF!</v>
      </c>
      <c r="AG36" s="123" t="e">
        <f t="shared" si="3"/>
        <v>#REF!</v>
      </c>
      <c r="AH36" s="123" t="e">
        <f t="shared" si="3"/>
        <v>#REF!</v>
      </c>
      <c r="AI36" s="123" t="e">
        <f t="shared" si="3"/>
        <v>#REF!</v>
      </c>
      <c r="AJ36" s="5" t="e">
        <f t="shared" si="3"/>
        <v>#REF!</v>
      </c>
      <c r="AK36" s="123" t="e">
        <f t="shared" si="3"/>
        <v>#REF!</v>
      </c>
      <c r="AL36" s="123" t="e">
        <f t="shared" si="3"/>
        <v>#REF!</v>
      </c>
      <c r="AM36" s="123" t="e">
        <f>AM35+AM34</f>
        <v>#REF!</v>
      </c>
      <c r="AN36" s="5" t="e">
        <f>AN34-AN35</f>
        <v>#REF!</v>
      </c>
      <c r="AO36" s="5" t="e">
        <f>AO35+AO34</f>
        <v>#REF!</v>
      </c>
      <c r="AP36" s="5" t="e">
        <f>AP35-AP34</f>
        <v>#REF!</v>
      </c>
      <c r="AQ36" s="5"/>
      <c r="AR36" s="5"/>
      <c r="AS36" s="5"/>
      <c r="AT36" s="5" t="e">
        <f>AT35-AT34</f>
        <v>#REF!</v>
      </c>
      <c r="AU36" s="5"/>
      <c r="AV36" s="5"/>
      <c r="AW36" s="5"/>
      <c r="AX36" s="5" t="e">
        <f>AX35-AX34</f>
        <v>#REF!</v>
      </c>
      <c r="AY36" s="5"/>
      <c r="AZ36" s="5"/>
      <c r="BA36" s="5"/>
      <c r="BB36" s="5" t="e">
        <f>BB35-BB34</f>
        <v>#REF!</v>
      </c>
    </row>
    <row r="37" spans="2:27" ht="13.5" hidden="1" thickTop="1">
      <c r="B37" s="5">
        <f>B34+B36</f>
        <v>99585.12276358003</v>
      </c>
      <c r="C37" s="5">
        <f>C34+C36</f>
        <v>79421.13494370002</v>
      </c>
      <c r="D37" s="52">
        <f>D36+D34</f>
        <v>-47122.45303451999</v>
      </c>
      <c r="M37" s="51">
        <f>report!G48</f>
        <v>920279.48556374</v>
      </c>
      <c r="AA37" s="5" t="e">
        <f>AA34+N34</f>
        <v>#REF!</v>
      </c>
    </row>
    <row r="38" spans="3:13" ht="13.5" hidden="1" thickTop="1">
      <c r="C38" s="51"/>
      <c r="E38" s="51"/>
      <c r="I38" t="s">
        <v>34</v>
      </c>
      <c r="M38" s="5">
        <f>M37-M36</f>
        <v>989564.6381872101</v>
      </c>
    </row>
    <row r="39" ht="13.5" hidden="1" thickTop="1">
      <c r="C39" s="5"/>
    </row>
    <row r="40" spans="1:2" ht="13.5" hidden="1" thickTop="1">
      <c r="A40" s="1" t="s">
        <v>5</v>
      </c>
      <c r="B40" s="1"/>
    </row>
    <row r="41" ht="12" customHeight="1" hidden="1">
      <c r="A41" t="s">
        <v>7</v>
      </c>
    </row>
    <row r="42" spans="1:4" ht="13.5" hidden="1" thickTop="1">
      <c r="A42" t="s">
        <v>8</v>
      </c>
      <c r="B42" t="s">
        <v>9</v>
      </c>
      <c r="C42" t="s">
        <v>10</v>
      </c>
      <c r="D42" t="s">
        <v>11</v>
      </c>
    </row>
    <row r="43" spans="1:4" ht="13.5" hidden="1" thickTop="1">
      <c r="A43" t="s">
        <v>13</v>
      </c>
      <c r="B43" t="s">
        <v>14</v>
      </c>
      <c r="C43" s="4" t="s">
        <v>15</v>
      </c>
      <c r="D43" s="4" t="s">
        <v>15</v>
      </c>
    </row>
    <row r="44" spans="1:2" ht="13.5" hidden="1" thickTop="1">
      <c r="A44" t="s">
        <v>16</v>
      </c>
      <c r="B44" t="s">
        <v>17</v>
      </c>
    </row>
    <row r="45" spans="1:4" ht="13.5" hidden="1" thickTop="1">
      <c r="A45" t="s">
        <v>19</v>
      </c>
      <c r="B45" t="s">
        <v>20</v>
      </c>
      <c r="C45">
        <v>101</v>
      </c>
      <c r="D45">
        <v>501</v>
      </c>
    </row>
    <row r="46" spans="1:4" ht="13.5" hidden="1" thickTop="1">
      <c r="A46" t="s">
        <v>21</v>
      </c>
      <c r="B46" t="s">
        <v>22</v>
      </c>
      <c r="C46">
        <v>2100</v>
      </c>
      <c r="D46">
        <v>2199</v>
      </c>
    </row>
    <row r="47" ht="13.5" hidden="1" thickTop="1"/>
    <row r="48" ht="13.5" hidden="1" thickTop="1">
      <c r="A48" t="s">
        <v>23</v>
      </c>
    </row>
    <row r="49" spans="1:4" ht="13.5" hidden="1" thickTop="1">
      <c r="A49" t="s">
        <v>8</v>
      </c>
      <c r="B49" t="s">
        <v>9</v>
      </c>
      <c r="C49" t="s">
        <v>10</v>
      </c>
      <c r="D49" t="s">
        <v>11</v>
      </c>
    </row>
    <row r="50" spans="1:4" ht="13.5" hidden="1" thickTop="1">
      <c r="A50" t="s">
        <v>13</v>
      </c>
      <c r="B50" t="s">
        <v>14</v>
      </c>
      <c r="C50" s="4" t="s">
        <v>15</v>
      </c>
      <c r="D50" s="4" t="s">
        <v>15</v>
      </c>
    </row>
    <row r="51" spans="1:2" ht="13.5" hidden="1" thickTop="1">
      <c r="A51" t="s">
        <v>16</v>
      </c>
      <c r="B51" t="s">
        <v>17</v>
      </c>
    </row>
    <row r="52" spans="1:4" ht="13.5" hidden="1" thickTop="1">
      <c r="A52" t="s">
        <v>19</v>
      </c>
      <c r="B52" t="s">
        <v>20</v>
      </c>
      <c r="C52">
        <v>701</v>
      </c>
      <c r="D52">
        <v>701</v>
      </c>
    </row>
    <row r="53" spans="1:4" ht="13.5" hidden="1" thickTop="1">
      <c r="A53" t="s">
        <v>21</v>
      </c>
      <c r="B53" t="s">
        <v>22</v>
      </c>
      <c r="C53">
        <v>2100</v>
      </c>
      <c r="D53">
        <v>2199</v>
      </c>
    </row>
    <row r="54" ht="12" customHeight="1" hidden="1"/>
    <row r="55" ht="13.5" hidden="1" thickTop="1">
      <c r="A55" s="1" t="s">
        <v>27</v>
      </c>
    </row>
    <row r="56" ht="13.5" hidden="1" thickTop="1"/>
    <row r="57" ht="13.5" hidden="1" thickTop="1">
      <c r="A57" t="s">
        <v>29</v>
      </c>
    </row>
    <row r="58" spans="1:4" ht="13.5" hidden="1" thickTop="1">
      <c r="A58" t="s">
        <v>8</v>
      </c>
      <c r="B58" t="s">
        <v>9</v>
      </c>
      <c r="C58" t="s">
        <v>10</v>
      </c>
      <c r="D58" t="s">
        <v>11</v>
      </c>
    </row>
    <row r="59" spans="1:4" ht="13.5" hidden="1" thickTop="1">
      <c r="A59" t="s">
        <v>13</v>
      </c>
      <c r="B59" t="s">
        <v>14</v>
      </c>
      <c r="C59" s="4" t="s">
        <v>15</v>
      </c>
      <c r="D59" s="4" t="s">
        <v>15</v>
      </c>
    </row>
    <row r="60" spans="1:2" ht="13.5" hidden="1" thickTop="1">
      <c r="A60" t="s">
        <v>16</v>
      </c>
      <c r="B60" t="s">
        <v>17</v>
      </c>
    </row>
    <row r="61" spans="1:4" ht="13.5" hidden="1" thickTop="1">
      <c r="A61" t="s">
        <v>19</v>
      </c>
      <c r="B61" t="s">
        <v>20</v>
      </c>
      <c r="C61">
        <v>101</v>
      </c>
      <c r="D61">
        <v>501</v>
      </c>
    </row>
    <row r="62" spans="1:4" ht="13.5" hidden="1" thickTop="1">
      <c r="A62" t="s">
        <v>21</v>
      </c>
      <c r="B62" t="s">
        <v>22</v>
      </c>
      <c r="C62">
        <v>2200</v>
      </c>
      <c r="D62">
        <v>9999</v>
      </c>
    </row>
    <row r="63" ht="13.5" hidden="1" thickTop="1"/>
    <row r="64" ht="13.5" hidden="1" thickTop="1">
      <c r="A64" t="s">
        <v>33</v>
      </c>
    </row>
    <row r="65" spans="1:4" ht="13.5" hidden="1" thickTop="1">
      <c r="A65" t="s">
        <v>8</v>
      </c>
      <c r="B65" t="s">
        <v>9</v>
      </c>
      <c r="C65" t="s">
        <v>10</v>
      </c>
      <c r="D65" t="s">
        <v>11</v>
      </c>
    </row>
    <row r="66" spans="1:4" ht="13.5" hidden="1" thickTop="1">
      <c r="A66" t="s">
        <v>13</v>
      </c>
      <c r="B66" t="s">
        <v>14</v>
      </c>
      <c r="C66" s="4" t="s">
        <v>15</v>
      </c>
      <c r="D66" s="4" t="s">
        <v>15</v>
      </c>
    </row>
    <row r="67" spans="1:2" ht="2.25" customHeight="1" hidden="1">
      <c r="A67" t="s">
        <v>16</v>
      </c>
      <c r="B67" t="s">
        <v>17</v>
      </c>
    </row>
    <row r="68" spans="1:4" ht="13.5" hidden="1" thickTop="1">
      <c r="A68" t="s">
        <v>19</v>
      </c>
      <c r="B68" t="s">
        <v>20</v>
      </c>
      <c r="C68">
        <v>701</v>
      </c>
      <c r="D68">
        <v>701</v>
      </c>
    </row>
    <row r="69" spans="1:4" ht="13.5" hidden="1" thickTop="1">
      <c r="A69" t="s">
        <v>21</v>
      </c>
      <c r="B69" t="s">
        <v>22</v>
      </c>
      <c r="C69">
        <v>2200</v>
      </c>
      <c r="D69">
        <v>9999</v>
      </c>
    </row>
    <row r="70" ht="13.5" hidden="1" thickTop="1"/>
    <row r="71" ht="13.5" hidden="1" thickTop="1">
      <c r="A71" t="s">
        <v>35</v>
      </c>
    </row>
    <row r="72" spans="1:4" ht="13.5" hidden="1" thickTop="1">
      <c r="A72" t="s">
        <v>8</v>
      </c>
      <c r="B72" t="s">
        <v>9</v>
      </c>
      <c r="C72" t="s">
        <v>10</v>
      </c>
      <c r="D72" t="s">
        <v>11</v>
      </c>
    </row>
    <row r="73" spans="1:4" ht="13.5" hidden="1" thickTop="1">
      <c r="A73" t="s">
        <v>13</v>
      </c>
      <c r="B73" t="s">
        <v>14</v>
      </c>
      <c r="C73" s="4" t="s">
        <v>15</v>
      </c>
      <c r="D73" s="4" t="s">
        <v>15</v>
      </c>
    </row>
    <row r="74" spans="1:2" ht="13.5" hidden="1" thickTop="1">
      <c r="A74" t="s">
        <v>16</v>
      </c>
      <c r="B74" t="s">
        <v>17</v>
      </c>
    </row>
    <row r="75" spans="1:4" ht="13.5" hidden="1" thickTop="1">
      <c r="A75" t="s">
        <v>19</v>
      </c>
      <c r="B75" t="s">
        <v>20</v>
      </c>
      <c r="C75">
        <v>101</v>
      </c>
      <c r="D75">
        <v>501</v>
      </c>
    </row>
    <row r="76" spans="1:4" ht="13.5" hidden="1" thickTop="1">
      <c r="A76" t="s">
        <v>21</v>
      </c>
      <c r="B76" t="s">
        <v>22</v>
      </c>
      <c r="C76">
        <v>2721</v>
      </c>
      <c r="D76">
        <v>2721</v>
      </c>
    </row>
    <row r="77" ht="13.5" hidden="1" thickTop="1"/>
    <row r="78" ht="13.5" hidden="1" thickTop="1">
      <c r="A78" s="1" t="s">
        <v>36</v>
      </c>
    </row>
    <row r="79" ht="13.5" hidden="1" thickTop="1"/>
    <row r="80" ht="13.5" hidden="1" thickTop="1">
      <c r="A80" s="1" t="s">
        <v>37</v>
      </c>
    </row>
    <row r="81" spans="1:56" ht="2.25" customHeight="1" thickTop="1">
      <c r="A81" s="5"/>
      <c r="B81" s="5">
        <f aca="true" t="shared" si="4" ref="B81:M81">B35-B34</f>
        <v>53578.502863099995</v>
      </c>
      <c r="C81" s="5">
        <f t="shared" si="4"/>
        <v>74802.70132992</v>
      </c>
      <c r="D81" s="5">
        <f t="shared" si="4"/>
        <v>80586.67335261</v>
      </c>
      <c r="E81" s="5">
        <f t="shared" si="4"/>
        <v>250940.8389093601</v>
      </c>
      <c r="F81" s="5">
        <f>F35+F34</f>
        <v>14132.999145510003</v>
      </c>
      <c r="G81" s="5">
        <f>G35+G34</f>
        <v>120276.84865611998</v>
      </c>
      <c r="H81" s="5">
        <f>H35+H34</f>
        <v>31990.736791970026</v>
      </c>
      <c r="I81" s="5">
        <f t="shared" si="4"/>
        <v>228857.43459988</v>
      </c>
      <c r="J81" s="5">
        <f>J35+J34</f>
        <v>36931.228498519995</v>
      </c>
      <c r="K81" s="5">
        <f>K35+K34</f>
        <v>75794.39506037002</v>
      </c>
      <c r="L81" s="5">
        <f>L35+L34</f>
        <v>-8338.10569987</v>
      </c>
      <c r="M81" s="5">
        <f t="shared" si="4"/>
        <v>69285.15262347003</v>
      </c>
      <c r="N81" s="5">
        <f aca="true" t="shared" si="5" ref="N81:AA81">N35-N34</f>
        <v>549083.4261327101</v>
      </c>
      <c r="O81" s="5" t="e">
        <f t="shared" si="5"/>
        <v>#REF!</v>
      </c>
      <c r="P81" s="5" t="e">
        <f t="shared" si="5"/>
        <v>#REF!</v>
      </c>
      <c r="Q81" s="5" t="e">
        <f t="shared" si="5"/>
        <v>#REF!</v>
      </c>
      <c r="R81" s="5" t="e">
        <f t="shared" si="5"/>
        <v>#REF!</v>
      </c>
      <c r="S81" s="5" t="e">
        <f t="shared" si="5"/>
        <v>#REF!</v>
      </c>
      <c r="T81" s="5" t="e">
        <f t="shared" si="5"/>
        <v>#REF!</v>
      </c>
      <c r="U81" s="5" t="e">
        <f t="shared" si="5"/>
        <v>#REF!</v>
      </c>
      <c r="V81" s="5" t="e">
        <f t="shared" si="5"/>
        <v>#REF!</v>
      </c>
      <c r="W81" s="5" t="e">
        <f>W35-W34</f>
        <v>#REF!</v>
      </c>
      <c r="X81" s="5" t="e">
        <f t="shared" si="5"/>
        <v>#REF!</v>
      </c>
      <c r="Y81" s="5" t="e">
        <f t="shared" si="5"/>
        <v>#REF!</v>
      </c>
      <c r="Z81" s="5" t="e">
        <f t="shared" si="5"/>
        <v>#REF!</v>
      </c>
      <c r="AA81" s="5" t="e">
        <f t="shared" si="5"/>
        <v>#REF!</v>
      </c>
      <c r="AB81" s="5" t="e">
        <f>AB35-AB34</f>
        <v>#REF!</v>
      </c>
      <c r="AF81" s="5" t="e">
        <f aca="true" t="shared" si="6" ref="AF81:BD81">AF35-AF34</f>
        <v>#REF!</v>
      </c>
      <c r="AG81" s="5" t="e">
        <f t="shared" si="6"/>
        <v>#REF!</v>
      </c>
      <c r="AH81" s="5" t="e">
        <f t="shared" si="6"/>
        <v>#REF!</v>
      </c>
      <c r="AI81" s="5" t="e">
        <f t="shared" si="6"/>
        <v>#REF!</v>
      </c>
      <c r="AJ81" s="5" t="e">
        <f t="shared" si="6"/>
        <v>#REF!</v>
      </c>
      <c r="AK81" s="5" t="e">
        <f t="shared" si="6"/>
        <v>#REF!</v>
      </c>
      <c r="AL81" s="5" t="e">
        <f t="shared" si="6"/>
        <v>#REF!</v>
      </c>
      <c r="AM81" s="5" t="e">
        <f t="shared" si="6"/>
        <v>#REF!</v>
      </c>
      <c r="AN81" s="5" t="e">
        <f t="shared" si="6"/>
        <v>#REF!</v>
      </c>
      <c r="AO81" s="5" t="e">
        <f t="shared" si="6"/>
        <v>#REF!</v>
      </c>
      <c r="AP81" s="5" t="e">
        <f t="shared" si="6"/>
        <v>#REF!</v>
      </c>
      <c r="AQ81" s="5"/>
      <c r="AR81" s="5"/>
      <c r="AS81" s="5"/>
      <c r="AT81" s="5" t="e">
        <f t="shared" si="6"/>
        <v>#REF!</v>
      </c>
      <c r="AU81" s="5"/>
      <c r="AV81" s="5"/>
      <c r="AW81" s="5"/>
      <c r="AX81" s="5" t="e">
        <f t="shared" si="6"/>
        <v>#REF!</v>
      </c>
      <c r="AY81" s="5"/>
      <c r="AZ81" s="5"/>
      <c r="BA81" s="5"/>
      <c r="BB81" s="5" t="e">
        <f t="shared" si="6"/>
        <v>#REF!</v>
      </c>
      <c r="BC81" s="5" t="e">
        <f t="shared" si="6"/>
        <v>#REF!</v>
      </c>
      <c r="BD81" s="5" t="e">
        <f t="shared" si="6"/>
        <v>#REF!</v>
      </c>
    </row>
    <row r="82" spans="18:40" ht="12.75">
      <c r="R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4:27" ht="12.75">
      <c r="N83" s="5"/>
      <c r="AA83" s="5"/>
    </row>
    <row r="85" spans="1:27" ht="18">
      <c r="A85" s="249" t="s">
        <v>146</v>
      </c>
      <c r="N85" s="5"/>
      <c r="AA85" s="5"/>
    </row>
    <row r="86" spans="58:64" ht="18">
      <c r="BF86" s="249"/>
      <c r="BG86" s="249"/>
      <c r="BH86" s="249"/>
      <c r="BI86" s="249"/>
      <c r="BK86" s="249"/>
      <c r="BL86" s="249"/>
    </row>
    <row r="87" spans="1:56" ht="18">
      <c r="A87" s="257" t="s">
        <v>170</v>
      </c>
      <c r="B87" s="249"/>
      <c r="C87" s="249"/>
      <c r="D87" s="249"/>
      <c r="E87" s="249"/>
      <c r="F87" s="249"/>
      <c r="G87" s="249"/>
      <c r="H87" s="249"/>
      <c r="R87" s="250" t="s">
        <v>147</v>
      </c>
      <c r="AA87" s="250" t="s">
        <v>148</v>
      </c>
      <c r="AB87" s="257" t="s">
        <v>161</v>
      </c>
      <c r="AC87" s="257"/>
      <c r="AD87" s="257"/>
      <c r="AE87" s="257"/>
      <c r="AF87" s="257"/>
      <c r="AG87" s="249"/>
      <c r="AH87" s="249"/>
      <c r="AI87" s="249"/>
      <c r="AJ87" s="249"/>
      <c r="AK87" s="249"/>
      <c r="AL87" s="249"/>
      <c r="AM87" s="249"/>
      <c r="AN87" s="344" t="s">
        <v>160</v>
      </c>
      <c r="AO87" s="344"/>
      <c r="AP87" s="344"/>
      <c r="AQ87" s="258"/>
      <c r="AR87" s="258"/>
      <c r="AS87" s="258"/>
      <c r="AT87" s="249"/>
      <c r="AU87" s="249"/>
      <c r="AV87" s="249"/>
      <c r="AW87" s="249"/>
      <c r="AX87" s="250" t="s">
        <v>147</v>
      </c>
      <c r="AY87" s="250"/>
      <c r="AZ87" s="250"/>
      <c r="BA87" s="250"/>
      <c r="BB87" s="249"/>
      <c r="BC87" s="249"/>
      <c r="BD87" s="250" t="s">
        <v>148</v>
      </c>
    </row>
    <row r="88" spans="1:56" ht="18">
      <c r="A88" s="257" t="s">
        <v>171</v>
      </c>
      <c r="B88" s="249"/>
      <c r="C88" s="249"/>
      <c r="D88" s="249"/>
      <c r="E88" s="249"/>
      <c r="F88" s="249"/>
      <c r="G88" s="249"/>
      <c r="H88" s="249"/>
      <c r="O88" s="249"/>
      <c r="R88" s="250" t="s">
        <v>149</v>
      </c>
      <c r="AA88" s="250" t="s">
        <v>149</v>
      </c>
      <c r="AB88" s="257" t="s">
        <v>162</v>
      </c>
      <c r="AC88" s="257"/>
      <c r="AD88" s="257"/>
      <c r="AE88" s="257"/>
      <c r="AF88" s="257"/>
      <c r="AG88" s="249"/>
      <c r="AH88" s="249"/>
      <c r="AI88" s="249"/>
      <c r="AJ88" s="249"/>
      <c r="AK88" s="249"/>
      <c r="AL88" s="249"/>
      <c r="AM88" s="249"/>
      <c r="AN88" s="344" t="s">
        <v>149</v>
      </c>
      <c r="AO88" s="344"/>
      <c r="AP88" s="344"/>
      <c r="AQ88" s="258"/>
      <c r="AR88" s="258"/>
      <c r="AS88" s="258"/>
      <c r="AT88" s="249"/>
      <c r="AU88" s="249"/>
      <c r="AV88" s="249"/>
      <c r="AW88" s="249"/>
      <c r="AX88" s="250" t="s">
        <v>149</v>
      </c>
      <c r="AY88" s="250"/>
      <c r="AZ88" s="250"/>
      <c r="BA88" s="250"/>
      <c r="BB88" s="249"/>
      <c r="BC88" s="249"/>
      <c r="BD88" s="250" t="s">
        <v>149</v>
      </c>
    </row>
  </sheetData>
  <sheetProtection password="F4C8" sheet="1" formatCells="0" formatColumns="0" formatRows="0" insertColumns="0" insertRows="0" insertHyperlinks="0" deleteColumns="0" deleteRows="0" sort="0" autoFilter="0" pivotTables="0"/>
  <mergeCells count="7">
    <mergeCell ref="AN87:AP87"/>
    <mergeCell ref="AN88:AP88"/>
    <mergeCell ref="R6:AA6"/>
    <mergeCell ref="A2:BD2"/>
    <mergeCell ref="R5:AA5"/>
    <mergeCell ref="E5:M5"/>
    <mergeCell ref="E6:M6"/>
  </mergeCells>
  <printOptions/>
  <pageMargins left="0.38" right="0.44" top="1" bottom="1" header="0.5" footer="0.5"/>
  <pageSetup fitToHeight="1" fitToWidth="1" horizontalDpi="600" verticalDpi="600" orientation="landscape" scale="72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42.28125" style="0" customWidth="1"/>
  </cols>
  <sheetData>
    <row r="1" spans="1:7" ht="12.75">
      <c r="A1" s="9"/>
      <c r="B1" s="10" t="s">
        <v>38</v>
      </c>
      <c r="C1" s="11"/>
      <c r="D1" s="366" t="s">
        <v>2</v>
      </c>
      <c r="E1" s="367"/>
      <c r="F1" s="367"/>
      <c r="G1" s="368"/>
    </row>
    <row r="2" spans="1:7" ht="33.75">
      <c r="A2" s="12"/>
      <c r="B2" s="13" t="s">
        <v>39</v>
      </c>
      <c r="C2" s="14"/>
      <c r="D2" s="15">
        <v>38718</v>
      </c>
      <c r="E2" s="16">
        <v>38749</v>
      </c>
      <c r="F2" s="16">
        <v>38777</v>
      </c>
      <c r="G2" s="17" t="s">
        <v>40</v>
      </c>
    </row>
    <row r="3" spans="1:7" ht="12.75">
      <c r="A3" s="18"/>
      <c r="B3" s="19" t="s">
        <v>41</v>
      </c>
      <c r="C3" s="20"/>
      <c r="D3" s="21" t="s">
        <v>41</v>
      </c>
      <c r="E3" s="22" t="s">
        <v>41</v>
      </c>
      <c r="F3" s="22" t="s">
        <v>41</v>
      </c>
      <c r="G3" s="23" t="s">
        <v>41</v>
      </c>
    </row>
    <row r="4" spans="1:7" ht="12.75">
      <c r="A4" s="27" t="s">
        <v>62</v>
      </c>
      <c r="B4" s="34">
        <v>-108055</v>
      </c>
      <c r="C4" s="34"/>
      <c r="D4" s="35">
        <v>-6540.285857530001</v>
      </c>
      <c r="E4" s="35">
        <v>-10419.90725983</v>
      </c>
      <c r="F4" s="35">
        <v>-10321.21347445</v>
      </c>
      <c r="G4" s="36">
        <v>-27281.406591810002</v>
      </c>
    </row>
    <row r="5" spans="1:7" ht="12.75">
      <c r="A5" s="41" t="s">
        <v>63</v>
      </c>
      <c r="B5" s="40">
        <v>-75425</v>
      </c>
      <c r="C5" s="18"/>
      <c r="D5" s="28">
        <v>-6240.96687808</v>
      </c>
      <c r="E5" s="28">
        <v>-7953.59188477</v>
      </c>
      <c r="F5" s="28">
        <v>-7960.94077682</v>
      </c>
      <c r="G5" s="36"/>
    </row>
    <row r="6" spans="1:7" ht="12.75">
      <c r="A6" s="41" t="s">
        <v>64</v>
      </c>
      <c r="B6" s="40">
        <v>-32630</v>
      </c>
      <c r="C6" s="18"/>
      <c r="D6" s="28">
        <v>-299.31897945</v>
      </c>
      <c r="E6" s="28">
        <v>-2466.31537506</v>
      </c>
      <c r="F6" s="28">
        <v>-2360.2726976299996</v>
      </c>
      <c r="G6" s="36">
        <v>-5125.907052139999</v>
      </c>
    </row>
    <row r="7" spans="1:7" ht="12.75">
      <c r="A7" s="27" t="s">
        <v>65</v>
      </c>
      <c r="B7" s="34">
        <v>-2135</v>
      </c>
      <c r="C7" s="34"/>
      <c r="D7" s="35">
        <v>0</v>
      </c>
      <c r="E7" s="35">
        <v>0</v>
      </c>
      <c r="F7" s="35">
        <v>0</v>
      </c>
      <c r="G7" s="36">
        <v>0</v>
      </c>
    </row>
    <row r="8" spans="1:7" ht="12.75">
      <c r="A8" s="41" t="s">
        <v>66</v>
      </c>
      <c r="B8" s="40">
        <v>-500</v>
      </c>
      <c r="C8" s="34"/>
      <c r="D8" s="35">
        <v>0</v>
      </c>
      <c r="E8" s="35">
        <v>0</v>
      </c>
      <c r="F8" s="35">
        <v>0</v>
      </c>
      <c r="G8" s="29">
        <v>0</v>
      </c>
    </row>
    <row r="9" spans="1:7" ht="12.75">
      <c r="A9" s="41" t="s">
        <v>67</v>
      </c>
      <c r="B9" s="40">
        <v>-835</v>
      </c>
      <c r="C9" s="18"/>
      <c r="D9" s="28">
        <v>0</v>
      </c>
      <c r="E9" s="28">
        <v>0</v>
      </c>
      <c r="F9" s="28"/>
      <c r="G9" s="29">
        <v>0</v>
      </c>
    </row>
    <row r="10" spans="1:7" ht="12.75">
      <c r="A10" s="41" t="s">
        <v>68</v>
      </c>
      <c r="B10" s="40">
        <v>-800</v>
      </c>
      <c r="C10" s="18"/>
      <c r="D10" s="28">
        <v>0</v>
      </c>
      <c r="E10" s="28">
        <v>0</v>
      </c>
      <c r="F10" s="28">
        <v>0</v>
      </c>
      <c r="G10" s="29">
        <v>0</v>
      </c>
    </row>
    <row r="11" spans="1:7" ht="12.75">
      <c r="A11" s="41" t="s">
        <v>69</v>
      </c>
      <c r="B11" s="40">
        <v>0</v>
      </c>
      <c r="C11" s="34"/>
      <c r="D11" s="28"/>
      <c r="E11" s="28"/>
      <c r="F11" s="28"/>
      <c r="G11" s="29">
        <v>0</v>
      </c>
    </row>
    <row r="12" spans="1:7" ht="12.75">
      <c r="A12" s="42" t="s">
        <v>70</v>
      </c>
      <c r="B12" s="34">
        <v>0</v>
      </c>
      <c r="C12" s="34"/>
      <c r="D12" s="35">
        <v>613.416534</v>
      </c>
      <c r="E12" s="35">
        <v>1191.941452</v>
      </c>
      <c r="F12" s="35">
        <v>993.1514109999999</v>
      </c>
      <c r="G12" s="36">
        <v>2798.509397</v>
      </c>
    </row>
    <row r="13" spans="1:7" ht="12.75">
      <c r="A13" s="42" t="s">
        <v>71</v>
      </c>
      <c r="B13" s="34">
        <v>0</v>
      </c>
      <c r="C13" s="34"/>
      <c r="D13" s="35">
        <v>589.1943530000001</v>
      </c>
      <c r="E13" s="35">
        <v>1282.1314010000003</v>
      </c>
      <c r="F13" s="35">
        <v>-1708.803749</v>
      </c>
      <c r="G13" s="36">
        <v>162.5220050000005</v>
      </c>
    </row>
    <row r="14" spans="1:7" ht="12.75">
      <c r="A14" s="42" t="s">
        <v>72</v>
      </c>
      <c r="B14" s="34">
        <v>0</v>
      </c>
      <c r="C14" s="34"/>
      <c r="D14" s="35">
        <v>11.674872720000003</v>
      </c>
      <c r="E14" s="35">
        <v>-19.72878606</v>
      </c>
      <c r="F14" s="35">
        <v>13.16918581</v>
      </c>
      <c r="G14" s="36">
        <v>5.1152724700000025</v>
      </c>
    </row>
    <row r="15" spans="1:7" ht="12.75">
      <c r="A15" s="42" t="s">
        <v>73</v>
      </c>
      <c r="B15" s="34">
        <v>0</v>
      </c>
      <c r="C15" s="34"/>
      <c r="D15" s="28">
        <v>0</v>
      </c>
      <c r="E15" s="28">
        <v>0</v>
      </c>
      <c r="F15" s="28">
        <v>0</v>
      </c>
      <c r="G15" s="36">
        <v>0</v>
      </c>
    </row>
    <row r="16" spans="1:7" ht="12.75">
      <c r="A16" s="42" t="s">
        <v>74</v>
      </c>
      <c r="B16" s="34">
        <v>0</v>
      </c>
      <c r="C16" s="43"/>
      <c r="D16" s="28">
        <v>0</v>
      </c>
      <c r="E16" s="28">
        <v>0</v>
      </c>
      <c r="F16" s="28">
        <v>0</v>
      </c>
      <c r="G16" s="36">
        <v>0</v>
      </c>
    </row>
    <row r="17" spans="1:7" ht="12.75">
      <c r="A17" s="38" t="s">
        <v>75</v>
      </c>
      <c r="B17" s="30">
        <v>-110190</v>
      </c>
      <c r="C17" s="30"/>
      <c r="D17" s="30">
        <v>-5326.000097810001</v>
      </c>
      <c r="E17" s="33">
        <v>-7965.563192890001</v>
      </c>
      <c r="F17" s="30">
        <v>-11023.69662664</v>
      </c>
      <c r="G17" s="33">
        <v>-24315.25991734</v>
      </c>
    </row>
    <row r="18" spans="1:7" ht="12.75">
      <c r="A18" s="18"/>
      <c r="B18" s="18"/>
      <c r="C18" s="35"/>
      <c r="D18" s="18"/>
      <c r="E18" s="44"/>
      <c r="F18" s="18"/>
      <c r="G18" s="26"/>
    </row>
    <row r="19" spans="1:7" ht="12.75">
      <c r="A19" s="38" t="s">
        <v>76</v>
      </c>
      <c r="B19" s="30">
        <v>51282</v>
      </c>
      <c r="C19" s="30"/>
      <c r="D19" s="30">
        <v>15770.573203249995</v>
      </c>
      <c r="E19" s="33">
        <v>-22940.396675459993</v>
      </c>
      <c r="F19" s="30">
        <v>4183.83871603001</v>
      </c>
      <c r="G19" s="33">
        <v>-2985.9847561800198</v>
      </c>
    </row>
    <row r="20" spans="1:7" ht="12.75">
      <c r="A20" s="18"/>
      <c r="B20" s="18"/>
      <c r="C20" s="45"/>
      <c r="D20" s="25"/>
      <c r="E20" s="25"/>
      <c r="F20" s="25"/>
      <c r="G20" s="26"/>
    </row>
    <row r="21" spans="1:7" ht="12.75">
      <c r="A21" s="18" t="s">
        <v>77</v>
      </c>
      <c r="B21" s="18"/>
      <c r="C21" s="34"/>
      <c r="D21" s="25"/>
      <c r="E21" s="25"/>
      <c r="F21" s="25"/>
      <c r="G21" s="26"/>
    </row>
    <row r="22" spans="1:7" ht="12.75">
      <c r="A22" s="2" t="s">
        <v>78</v>
      </c>
      <c r="B22" s="40">
        <v>0</v>
      </c>
      <c r="C22" s="34"/>
      <c r="D22" s="28">
        <v>-351.05585</v>
      </c>
      <c r="E22" s="28">
        <v>542.0506399999999</v>
      </c>
      <c r="F22" s="28">
        <v>275.561525</v>
      </c>
      <c r="G22" s="36">
        <v>466.5563149999999</v>
      </c>
    </row>
    <row r="23" spans="1:7" ht="12.75">
      <c r="A23" s="37" t="s">
        <v>79</v>
      </c>
      <c r="B23" s="40">
        <v>14923</v>
      </c>
      <c r="C23" s="34"/>
      <c r="D23" s="28"/>
      <c r="E23" s="28"/>
      <c r="F23" s="28"/>
      <c r="G23" s="36">
        <v>0</v>
      </c>
    </row>
    <row r="24" spans="1:7" ht="12.75">
      <c r="A24" s="37" t="s">
        <v>80</v>
      </c>
      <c r="B24" s="40">
        <v>-80615</v>
      </c>
      <c r="C24" s="34"/>
      <c r="D24" s="28">
        <v>-289.18904836999997</v>
      </c>
      <c r="E24" s="28">
        <v>-2903.19775697</v>
      </c>
      <c r="F24" s="28">
        <v>-4936.05726609</v>
      </c>
      <c r="G24" s="36">
        <v>-8128.44407143</v>
      </c>
    </row>
    <row r="25" spans="1:7" ht="12.75">
      <c r="A25" s="38" t="s">
        <v>81</v>
      </c>
      <c r="B25" s="30">
        <v>-65692</v>
      </c>
      <c r="C25" s="30"/>
      <c r="D25" s="33">
        <v>-640.24489837</v>
      </c>
      <c r="E25" s="33">
        <v>-2361.14711697</v>
      </c>
      <c r="F25" s="30">
        <v>-4660.49574109</v>
      </c>
      <c r="G25" s="33">
        <v>-7661.88775643</v>
      </c>
    </row>
    <row r="26" spans="1:7" ht="12.75">
      <c r="A26" s="37"/>
      <c r="B26" s="18"/>
      <c r="C26" s="12"/>
      <c r="D26" s="46"/>
      <c r="E26" s="46"/>
      <c r="F26" s="18"/>
      <c r="G26" s="26"/>
    </row>
    <row r="27" spans="1:7" ht="22.5">
      <c r="A27" s="47" t="s">
        <v>82</v>
      </c>
      <c r="B27" s="30">
        <v>-14410</v>
      </c>
      <c r="C27" s="30"/>
      <c r="D27" s="31">
        <v>15130.328304879995</v>
      </c>
      <c r="E27" s="32">
        <v>-25301.54379242999</v>
      </c>
      <c r="F27" s="30">
        <v>-476.6570250599898</v>
      </c>
      <c r="G27" s="33">
        <v>-10647.87251261002</v>
      </c>
    </row>
  </sheetData>
  <sheetProtection password="F4C8" sheet="1" formatCells="0" formatColumns="0" formatRows="0" insertColumns="0" insertRows="0" insertHyperlinks="0" deleteColumns="0" deleteRows="0" sort="0" autoFilter="0" pivotTables="0"/>
  <mergeCells count="1">
    <mergeCell ref="D1:G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D25" sqref="D25"/>
    </sheetView>
  </sheetViews>
  <sheetFormatPr defaultColWidth="7.421875" defaultRowHeight="12.75"/>
  <cols>
    <col min="1" max="1" width="22.7109375" style="7" bestFit="1" customWidth="1"/>
    <col min="2" max="2" width="7.8515625" style="7" bestFit="1" customWidth="1"/>
    <col min="3" max="3" width="10.7109375" style="7" customWidth="1"/>
    <col min="4" max="4" width="16.57421875" style="7" bestFit="1" customWidth="1"/>
    <col min="5" max="5" width="6.28125" style="7" bestFit="1" customWidth="1"/>
    <col min="6" max="7" width="7.421875" style="7" customWidth="1"/>
    <col min="8" max="8" width="16.57421875" style="7" bestFit="1" customWidth="1"/>
    <col min="9" max="9" width="11.00390625" style="7" bestFit="1" customWidth="1"/>
    <col min="10" max="10" width="7.421875" style="151" customWidth="1"/>
    <col min="11" max="11" width="11.00390625" style="151" bestFit="1" customWidth="1"/>
    <col min="12" max="12" width="16.57421875" style="151" bestFit="1" customWidth="1"/>
    <col min="13" max="13" width="5.7109375" style="151" bestFit="1" customWidth="1"/>
    <col min="14" max="16384" width="7.421875" style="7" customWidth="1"/>
  </cols>
  <sheetData>
    <row r="1" ht="11.25">
      <c r="G1" s="7">
        <v>701</v>
      </c>
    </row>
    <row r="3" spans="1:13" ht="11.25">
      <c r="A3" s="148" t="s">
        <v>3</v>
      </c>
      <c r="B3" s="7" t="s">
        <v>133</v>
      </c>
      <c r="C3" s="7" t="s">
        <v>131</v>
      </c>
      <c r="D3" s="7" t="s">
        <v>132</v>
      </c>
      <c r="E3" s="7" t="s">
        <v>134</v>
      </c>
      <c r="F3" s="7" t="s">
        <v>133</v>
      </c>
      <c r="G3" s="7" t="s">
        <v>131</v>
      </c>
      <c r="H3" s="7" t="s">
        <v>132</v>
      </c>
      <c r="I3" s="7" t="s">
        <v>134</v>
      </c>
      <c r="J3" s="151" t="s">
        <v>133</v>
      </c>
      <c r="K3" s="151" t="s">
        <v>131</v>
      </c>
      <c r="L3" s="151" t="s">
        <v>132</v>
      </c>
      <c r="M3" s="151" t="s">
        <v>134</v>
      </c>
    </row>
    <row r="4" ht="11.25">
      <c r="A4" s="149" t="s">
        <v>4</v>
      </c>
    </row>
    <row r="5" ht="11.25">
      <c r="A5" s="18"/>
    </row>
    <row r="6" spans="1:13" ht="11.25">
      <c r="A6" s="18" t="s">
        <v>6</v>
      </c>
      <c r="B6" s="150" t="e">
        <f>'[5]Sheet1'!$I$28</f>
        <v>#REF!</v>
      </c>
      <c r="C6" s="150" t="e">
        <f>'[5]Sheet1'!$I$29</f>
        <v>#REF!</v>
      </c>
      <c r="D6" s="150" t="e">
        <f>'[5]Sheet1'!$I$30</f>
        <v>#REF!</v>
      </c>
      <c r="E6" s="150" t="e">
        <f>D6+C6+B6</f>
        <v>#REF!</v>
      </c>
      <c r="G6" s="150">
        <f>'[6]Sheet1'!$I$14</f>
        <v>0</v>
      </c>
      <c r="I6" s="7">
        <f>SUM(F6:H6)</f>
        <v>0</v>
      </c>
      <c r="J6" s="152" t="e">
        <f>(F6+B6)*-1</f>
        <v>#REF!</v>
      </c>
      <c r="K6" s="152" t="e">
        <f>(G6+C6)*-1</f>
        <v>#REF!</v>
      </c>
      <c r="L6" s="152" t="e">
        <f>(H6+D6)*-1</f>
        <v>#REF!</v>
      </c>
      <c r="M6" s="152" t="e">
        <f>SUM(J6:L6)</f>
        <v>#REF!</v>
      </c>
    </row>
    <row r="7" ht="11.25">
      <c r="A7" s="18"/>
    </row>
    <row r="8" spans="1:13" ht="11.25">
      <c r="A8" s="18" t="s">
        <v>12</v>
      </c>
      <c r="B8" s="150">
        <f>'[5]Sheet1'!$I$21</f>
        <v>0</v>
      </c>
      <c r="C8" s="150">
        <f>'[5]Sheet1'!$I$22</f>
        <v>-3498.696673</v>
      </c>
      <c r="D8" s="150">
        <f>'[5]Sheet1'!$H$23</f>
        <v>0</v>
      </c>
      <c r="E8" s="150">
        <f>D8+C8+B8</f>
        <v>-3498.696673</v>
      </c>
      <c r="G8" s="150">
        <f>'[6]Sheet1'!$I$10</f>
        <v>-142.6866</v>
      </c>
      <c r="I8" s="7">
        <f>SUM(F8:H8)</f>
        <v>-142.6866</v>
      </c>
      <c r="J8" s="152">
        <f>(F8+B8)*-1</f>
        <v>0</v>
      </c>
      <c r="K8" s="152">
        <f>(G8+C8)*-1</f>
        <v>3641.383273</v>
      </c>
      <c r="L8" s="152">
        <f>(H8+D8)*-1</f>
        <v>0</v>
      </c>
      <c r="M8" s="152">
        <f>SUM(J8:L8)</f>
        <v>3641.383273</v>
      </c>
    </row>
    <row r="9" ht="11.25">
      <c r="A9" s="18"/>
    </row>
    <row r="10" spans="1:13" ht="11.25">
      <c r="A10" s="18" t="s">
        <v>18</v>
      </c>
      <c r="B10" s="150">
        <f>'[5]Sheet1'!$I$18</f>
        <v>-1606.1214189999998</v>
      </c>
      <c r="C10" s="150">
        <f>'[5]Sheet1'!$I$19</f>
        <v>-164.280899</v>
      </c>
      <c r="D10" s="7">
        <v>0</v>
      </c>
      <c r="E10" s="150">
        <f>D10+C10+B10</f>
        <v>-1770.402318</v>
      </c>
      <c r="G10" s="150">
        <f>'[6]Sheet1'!$I$8</f>
        <v>-72.051</v>
      </c>
      <c r="I10" s="7">
        <f>SUM(F10:H10)</f>
        <v>-72.051</v>
      </c>
      <c r="J10" s="152">
        <f>(F10+B10)*-1</f>
        <v>1606.1214189999998</v>
      </c>
      <c r="K10" s="152">
        <f>(G10+C10)*-1</f>
        <v>236.33189900000002</v>
      </c>
      <c r="L10" s="152">
        <f>H10+D10</f>
        <v>0</v>
      </c>
      <c r="M10" s="152">
        <f>SUM(J10:L10)</f>
        <v>1842.4533179999999</v>
      </c>
    </row>
    <row r="11" ht="11.25">
      <c r="A11" s="18"/>
    </row>
    <row r="12" spans="1:13" ht="11.25">
      <c r="A12" s="18" t="s">
        <v>105</v>
      </c>
      <c r="B12" s="150">
        <f>'[5]Sheet1'!$I$7</f>
        <v>-224.22271400000005</v>
      </c>
      <c r="C12" s="150">
        <f>'[5]Sheet1'!$I$8</f>
        <v>-1419.719113</v>
      </c>
      <c r="D12" s="150">
        <v>0</v>
      </c>
      <c r="E12" s="150">
        <f>D12+C12+B12</f>
        <v>-1643.941827</v>
      </c>
      <c r="I12" s="7">
        <f>SUM(F12:H12)</f>
        <v>0</v>
      </c>
      <c r="J12" s="152">
        <f>(F12+B12)*-1</f>
        <v>224.22271400000005</v>
      </c>
      <c r="K12" s="152">
        <f>(G12+C12)*-1</f>
        <v>1419.719113</v>
      </c>
      <c r="L12" s="152">
        <f>(H12+D12)*-1</f>
        <v>0</v>
      </c>
      <c r="M12" s="152">
        <f>SUM(J12:L12)</f>
        <v>1643.941827</v>
      </c>
    </row>
    <row r="13" ht="11.25">
      <c r="A13" s="18"/>
    </row>
    <row r="14" spans="1:13" ht="11.25">
      <c r="A14" s="18" t="s">
        <v>24</v>
      </c>
      <c r="B14" s="150">
        <f>'[5]Sheet1'!$I$10</f>
        <v>-40513.126938409994</v>
      </c>
      <c r="C14" s="150">
        <f>'[5]Sheet1'!$I$11</f>
        <v>-12741.781978999998</v>
      </c>
      <c r="D14" s="150">
        <f>'[5]Sheet1'!$I$12</f>
        <v>-18412.04973941</v>
      </c>
      <c r="E14" s="150">
        <f>D14+C14+B14</f>
        <v>-71666.95865681999</v>
      </c>
      <c r="G14" s="150">
        <f>'[6]Sheet1'!$I$6</f>
        <v>0</v>
      </c>
      <c r="I14" s="7">
        <f>SUM(F14:H14)</f>
        <v>0</v>
      </c>
      <c r="J14" s="152">
        <f>(F14+B14)*-1</f>
        <v>40513.126938409994</v>
      </c>
      <c r="K14" s="152">
        <f>(G14+C14)*-1</f>
        <v>12741.781978999998</v>
      </c>
      <c r="L14" s="152">
        <f>(H14+D14)*-1</f>
        <v>18412.04973941</v>
      </c>
      <c r="M14" s="152">
        <f>SUM(J14:L14)</f>
        <v>71666.95865681999</v>
      </c>
    </row>
    <row r="15" ht="11.25">
      <c r="A15" s="18"/>
    </row>
    <row r="16" spans="1:13" ht="11.25">
      <c r="A16" s="18" t="s">
        <v>25</v>
      </c>
      <c r="B16" s="150">
        <f>'[5]Sheet1'!$I$25</f>
        <v>-83583.94856921</v>
      </c>
      <c r="C16" s="150" t="e">
        <f>'[5]Sheet1'!$I$26</f>
        <v>#REF!</v>
      </c>
      <c r="D16" s="7">
        <v>0</v>
      </c>
      <c r="E16" s="150" t="e">
        <f>D16+C16+B16</f>
        <v>#REF!</v>
      </c>
      <c r="G16" s="150">
        <f>'[6]Sheet1'!$I$12</f>
        <v>0</v>
      </c>
      <c r="I16" s="7">
        <f>SUM(F16:H16)</f>
        <v>0</v>
      </c>
      <c r="J16" s="152">
        <f>(F16+B16)*-1</f>
        <v>83583.94856921</v>
      </c>
      <c r="K16" s="152" t="e">
        <f>(G16+C16)*-1</f>
        <v>#REF!</v>
      </c>
      <c r="L16" s="152">
        <f>H16+D16</f>
        <v>0</v>
      </c>
      <c r="M16" s="152" t="e">
        <f>SUM(J16:L16)</f>
        <v>#REF!</v>
      </c>
    </row>
    <row r="17" ht="11.25">
      <c r="A17" s="18"/>
    </row>
    <row r="18" spans="1:13" ht="11.25">
      <c r="A18" s="18" t="s">
        <v>106</v>
      </c>
      <c r="B18" s="7">
        <v>0</v>
      </c>
      <c r="C18" s="7">
        <v>0</v>
      </c>
      <c r="D18" s="7">
        <v>0</v>
      </c>
      <c r="E18" s="150">
        <f>D18+C18+B18</f>
        <v>0</v>
      </c>
      <c r="I18" s="7">
        <f>SUM(F18:H18)</f>
        <v>0</v>
      </c>
      <c r="J18" s="152">
        <f>F18+B18</f>
        <v>0</v>
      </c>
      <c r="K18" s="152">
        <f>G18+C18</f>
        <v>0</v>
      </c>
      <c r="L18" s="152">
        <f>H18+D18</f>
        <v>0</v>
      </c>
      <c r="M18" s="152">
        <f>SUM(J18:L18)</f>
        <v>0</v>
      </c>
    </row>
    <row r="19" ht="11.25">
      <c r="A19" s="18"/>
    </row>
    <row r="20" spans="1:13" ht="11.25">
      <c r="A20" s="18" t="s">
        <v>26</v>
      </c>
      <c r="B20" s="7">
        <v>0</v>
      </c>
      <c r="C20" s="7">
        <v>0</v>
      </c>
      <c r="D20" s="7">
        <v>0</v>
      </c>
      <c r="E20" s="150">
        <f>D20+C20+B20</f>
        <v>0</v>
      </c>
      <c r="I20" s="7">
        <f>SUM(F20:H20)</f>
        <v>0</v>
      </c>
      <c r="J20" s="152">
        <f>F20+B20</f>
        <v>0</v>
      </c>
      <c r="K20" s="152">
        <f>G20+C20</f>
        <v>0</v>
      </c>
      <c r="L20" s="152">
        <f>H20+D20</f>
        <v>0</v>
      </c>
      <c r="M20" s="152">
        <f>SUM(J20:L20)</f>
        <v>0</v>
      </c>
    </row>
    <row r="21" ht="11.25">
      <c r="A21" s="18"/>
    </row>
    <row r="22" spans="1:13" ht="11.25">
      <c r="A22" s="18" t="s">
        <v>28</v>
      </c>
      <c r="B22" s="150">
        <f>'[5]Sheet1'!$I$14</f>
        <v>-928.791765</v>
      </c>
      <c r="C22" s="150">
        <f>'[5]Sheet1'!$I$15</f>
        <v>-142.572765</v>
      </c>
      <c r="D22" s="150">
        <f>'[5]Sheet1'!$I$16</f>
        <v>-546.2189999999999</v>
      </c>
      <c r="E22" s="150">
        <f>D22+C22+B22</f>
        <v>-1617.5835299999999</v>
      </c>
      <c r="G22" s="150">
        <f>'[6]Sheet1'!$I$6</f>
        <v>0</v>
      </c>
      <c r="H22" s="150">
        <f>'[6]Sheet1'!$I$9</f>
        <v>-142.6866</v>
      </c>
      <c r="I22" s="7">
        <f>SUM(F22:H22)</f>
        <v>-142.6866</v>
      </c>
      <c r="J22" s="152">
        <f>(F22+B22)*-1</f>
        <v>928.791765</v>
      </c>
      <c r="K22" s="152">
        <f>(G22+C22)*-1</f>
        <v>142.572765</v>
      </c>
      <c r="L22" s="152">
        <f>(H22+D22)*-1</f>
        <v>688.9055999999999</v>
      </c>
      <c r="M22" s="152">
        <f>SUM(J22:L22)</f>
        <v>1760.2701299999999</v>
      </c>
    </row>
    <row r="23" ht="11.25">
      <c r="A23" s="18"/>
    </row>
    <row r="24" spans="1:13" ht="11.25">
      <c r="A24" s="18" t="s">
        <v>30</v>
      </c>
      <c r="B24" s="150">
        <f>'[5]Sheet1'!$I$3</f>
        <v>-21561.49939174</v>
      </c>
      <c r="C24" s="150">
        <f>'[5]Sheet1'!$I$4</f>
        <v>-12577.81516906</v>
      </c>
      <c r="D24" s="150">
        <f>'[5]Sheet1'!$I$5</f>
        <v>-1032.083451</v>
      </c>
      <c r="E24" s="150">
        <f>D24+C24+B24</f>
        <v>-35171.3980118</v>
      </c>
      <c r="F24" s="150">
        <f>'[6]Sheet1'!$I$3</f>
        <v>-418.76968500000004</v>
      </c>
      <c r="G24" s="150">
        <f>'[6]Sheet1'!$I$4</f>
        <v>0</v>
      </c>
      <c r="I24" s="7">
        <f>SUM(F24:H24)</f>
        <v>-418.76968500000004</v>
      </c>
      <c r="J24" s="152">
        <f>(F24+B24)*-1</f>
        <v>21980.269076739998</v>
      </c>
      <c r="K24" s="152">
        <f>(G24+C24)*-1</f>
        <v>12577.81516906</v>
      </c>
      <c r="L24" s="152">
        <f>(H24+D24)*-1</f>
        <v>1032.083451</v>
      </c>
      <c r="M24" s="152">
        <f>SUM(J24:L24)</f>
        <v>35590.167696799996</v>
      </c>
    </row>
    <row r="25" spans="2:13" ht="11.25">
      <c r="B25" s="150" t="e">
        <f aca="true" t="shared" si="0" ref="B25:L25">SUM(B6:B24)</f>
        <v>#REF!</v>
      </c>
      <c r="C25" s="150" t="e">
        <f t="shared" si="0"/>
        <v>#REF!</v>
      </c>
      <c r="D25" s="150" t="e">
        <f t="shared" si="0"/>
        <v>#REF!</v>
      </c>
      <c r="E25" s="150" t="e">
        <f t="shared" si="0"/>
        <v>#REF!</v>
      </c>
      <c r="F25" s="150">
        <f t="shared" si="0"/>
        <v>-418.76968500000004</v>
      </c>
      <c r="G25" s="150">
        <f t="shared" si="0"/>
        <v>-214.7376</v>
      </c>
      <c r="H25" s="150">
        <f t="shared" si="0"/>
        <v>-142.6866</v>
      </c>
      <c r="I25" s="150">
        <f t="shared" si="0"/>
        <v>-776.193885</v>
      </c>
      <c r="J25" s="152" t="e">
        <f t="shared" si="0"/>
        <v>#REF!</v>
      </c>
      <c r="K25" s="152" t="e">
        <f t="shared" si="0"/>
        <v>#REF!</v>
      </c>
      <c r="L25" s="152" t="e">
        <f t="shared" si="0"/>
        <v>#REF!</v>
      </c>
      <c r="M25" s="152" t="e">
        <f>SUM(J25:L25)</f>
        <v>#REF!</v>
      </c>
    </row>
  </sheetData>
  <sheetProtection password="F4C8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60"/>
  <sheetViews>
    <sheetView zoomScalePageLayoutView="0" workbookViewId="0" topLeftCell="A1">
      <pane xSplit="1" topLeftCell="L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47.8515625" style="0" customWidth="1"/>
    <col min="2" max="2" width="9.28125" style="0" hidden="1" customWidth="1"/>
    <col min="3" max="3" width="10.8515625" style="0" hidden="1" customWidth="1"/>
    <col min="4" max="4" width="7.7109375" style="0" hidden="1" customWidth="1"/>
    <col min="5" max="5" width="11.57421875" style="0" hidden="1" customWidth="1"/>
    <col min="6" max="6" width="8.140625" style="0" hidden="1" customWidth="1"/>
    <col min="7" max="7" width="7.421875" style="0" hidden="1" customWidth="1"/>
    <col min="8" max="8" width="9.8515625" style="0" hidden="1" customWidth="1"/>
    <col min="9" max="9" width="9.421875" style="0" hidden="1" customWidth="1"/>
    <col min="10" max="11" width="9.8515625" style="0" hidden="1" customWidth="1"/>
    <col min="12" max="12" width="8.421875" style="0" hidden="1" customWidth="1"/>
    <col min="13" max="13" width="9.140625" style="0" hidden="1" customWidth="1"/>
    <col min="14" max="14" width="9.7109375" style="0" hidden="1" customWidth="1"/>
    <col min="15" max="16" width="9.140625" style="0" hidden="1" customWidth="1"/>
  </cols>
  <sheetData>
    <row r="1" spans="1:17" ht="12.75">
      <c r="A1" s="1" t="s">
        <v>141</v>
      </c>
      <c r="Q1" s="68"/>
    </row>
    <row r="2" spans="3:22" ht="12.75">
      <c r="C2" s="77"/>
      <c r="Q2" s="77"/>
      <c r="R2" s="77"/>
      <c r="S2" s="77"/>
      <c r="T2" s="77"/>
      <c r="U2" s="77"/>
      <c r="V2" s="77"/>
    </row>
    <row r="3" spans="1:22" ht="12.75">
      <c r="A3" s="9"/>
      <c r="B3" s="97" t="s">
        <v>38</v>
      </c>
      <c r="C3" s="369" t="s">
        <v>2</v>
      </c>
      <c r="D3" s="370"/>
      <c r="E3" s="370"/>
      <c r="F3" s="371"/>
      <c r="G3" s="369" t="s">
        <v>2</v>
      </c>
      <c r="H3" s="370"/>
      <c r="I3" s="370"/>
      <c r="J3" s="371"/>
      <c r="K3" s="97"/>
      <c r="L3" s="97" t="s">
        <v>124</v>
      </c>
      <c r="M3" s="369"/>
      <c r="N3" s="370"/>
      <c r="O3" s="370"/>
      <c r="P3" s="370"/>
      <c r="Q3" s="104" t="s">
        <v>139</v>
      </c>
      <c r="R3" s="156"/>
      <c r="S3" s="156"/>
      <c r="T3" s="156"/>
      <c r="V3" s="104"/>
    </row>
    <row r="4" spans="1:22" ht="16.5">
      <c r="A4" s="12"/>
      <c r="B4" s="99" t="s">
        <v>39</v>
      </c>
      <c r="C4" s="95">
        <v>38718</v>
      </c>
      <c r="D4" s="101">
        <v>38749</v>
      </c>
      <c r="E4" s="101">
        <v>38777</v>
      </c>
      <c r="F4" s="102" t="s">
        <v>101</v>
      </c>
      <c r="G4" s="101">
        <v>38808</v>
      </c>
      <c r="H4" s="101">
        <v>38838</v>
      </c>
      <c r="I4" s="101">
        <v>38869</v>
      </c>
      <c r="J4" s="100" t="s">
        <v>102</v>
      </c>
      <c r="K4" s="103" t="s">
        <v>86</v>
      </c>
      <c r="L4" s="103" t="s">
        <v>86</v>
      </c>
      <c r="M4" s="101">
        <v>38899</v>
      </c>
      <c r="N4" s="101">
        <v>38930</v>
      </c>
      <c r="O4" s="101">
        <v>38961</v>
      </c>
      <c r="P4" s="100" t="s">
        <v>107</v>
      </c>
      <c r="Q4" s="103" t="s">
        <v>108</v>
      </c>
      <c r="R4" s="103">
        <v>38991</v>
      </c>
      <c r="S4" s="103">
        <v>39022</v>
      </c>
      <c r="T4" s="103">
        <v>39052</v>
      </c>
      <c r="U4" s="128" t="s">
        <v>109</v>
      </c>
      <c r="V4" s="103" t="s">
        <v>110</v>
      </c>
    </row>
    <row r="5" spans="1:22" ht="12.75">
      <c r="A5" s="9"/>
      <c r="B5" s="104" t="s">
        <v>41</v>
      </c>
      <c r="C5" s="105" t="s">
        <v>41</v>
      </c>
      <c r="D5" s="105" t="s">
        <v>41</v>
      </c>
      <c r="E5" s="105" t="s">
        <v>41</v>
      </c>
      <c r="F5" s="111" t="s">
        <v>41</v>
      </c>
      <c r="G5" s="105" t="s">
        <v>41</v>
      </c>
      <c r="H5" s="105" t="s">
        <v>41</v>
      </c>
      <c r="I5" s="105" t="s">
        <v>41</v>
      </c>
      <c r="J5" s="105" t="s">
        <v>41</v>
      </c>
      <c r="K5" s="104" t="s">
        <v>41</v>
      </c>
      <c r="L5" s="104" t="s">
        <v>41</v>
      </c>
      <c r="M5" s="105" t="s">
        <v>41</v>
      </c>
      <c r="N5" s="105" t="s">
        <v>41</v>
      </c>
      <c r="O5" s="105" t="s">
        <v>41</v>
      </c>
      <c r="P5" s="105" t="s">
        <v>41</v>
      </c>
      <c r="Q5" s="104" t="s">
        <v>41</v>
      </c>
      <c r="R5" s="105" t="s">
        <v>41</v>
      </c>
      <c r="S5" s="105" t="s">
        <v>41</v>
      </c>
      <c r="T5" s="105" t="s">
        <v>41</v>
      </c>
      <c r="U5" s="105" t="s">
        <v>41</v>
      </c>
      <c r="V5" s="104" t="s">
        <v>41</v>
      </c>
    </row>
    <row r="6" spans="1:22" ht="12.75">
      <c r="A6" s="18" t="s">
        <v>49</v>
      </c>
      <c r="B6" s="79">
        <v>538808</v>
      </c>
      <c r="C6" s="67">
        <f>report!C21</f>
        <v>198093.66132375004</v>
      </c>
      <c r="D6" s="67">
        <f>report!D21</f>
        <v>200923.24431370007</v>
      </c>
      <c r="E6" s="67">
        <f>report!E21</f>
        <v>88218.50261696</v>
      </c>
      <c r="F6" s="61">
        <f>SUM(C6:E6)</f>
        <v>487235.40825441014</v>
      </c>
      <c r="G6" s="67" t="e">
        <f>report!#REF!</f>
        <v>#REF!</v>
      </c>
      <c r="H6" s="67" t="e">
        <f>report!#REF!</f>
        <v>#REF!</v>
      </c>
      <c r="I6" s="67" t="e">
        <f>report!#REF!</f>
        <v>#REF!</v>
      </c>
      <c r="J6" s="67" t="e">
        <f>report!#REF!</f>
        <v>#REF!</v>
      </c>
      <c r="K6" s="79" t="e">
        <f>report!#REF!</f>
        <v>#REF!</v>
      </c>
      <c r="L6" s="79" t="e">
        <f>report!#REF!</f>
        <v>#REF!</v>
      </c>
      <c r="M6" s="67" t="e">
        <f>report!#REF!</f>
        <v>#REF!</v>
      </c>
      <c r="N6" s="67" t="e">
        <f>report!#REF!</f>
        <v>#REF!</v>
      </c>
      <c r="O6" s="67" t="e">
        <f>report!#REF!</f>
        <v>#REF!</v>
      </c>
      <c r="P6" s="67" t="e">
        <f>report!#REF!</f>
        <v>#REF!</v>
      </c>
      <c r="Q6" s="79" t="e">
        <f>report!#REF!</f>
        <v>#REF!</v>
      </c>
      <c r="R6" s="67" t="e">
        <f>report!#REF!</f>
        <v>#REF!</v>
      </c>
      <c r="S6" s="67" t="e">
        <f>report!#REF!</f>
        <v>#REF!</v>
      </c>
      <c r="T6" s="67" t="e">
        <f>report!#REF!</f>
        <v>#REF!</v>
      </c>
      <c r="U6" s="67" t="e">
        <f>report!#REF!</f>
        <v>#REF!</v>
      </c>
      <c r="V6" s="79" t="e">
        <f>U6+Q6</f>
        <v>#REF!</v>
      </c>
    </row>
    <row r="7" spans="1:22" ht="12.75">
      <c r="A7" s="18" t="s">
        <v>52</v>
      </c>
      <c r="B7" s="79">
        <v>240479</v>
      </c>
      <c r="C7" s="67">
        <f>report!C30</f>
        <v>1560.45727446</v>
      </c>
      <c r="D7" s="67">
        <f>report!D30</f>
        <v>0</v>
      </c>
      <c r="E7" s="67">
        <f>report!E30</f>
        <v>66339.10187911</v>
      </c>
      <c r="F7" s="61">
        <f>SUM(C7:E7)</f>
        <v>67899.55915357001</v>
      </c>
      <c r="G7" s="67" t="e">
        <f>report!#REF!</f>
        <v>#REF!</v>
      </c>
      <c r="H7" s="67" t="e">
        <f>report!#REF!</f>
        <v>#REF!</v>
      </c>
      <c r="I7" s="67" t="e">
        <f>report!#REF!</f>
        <v>#REF!</v>
      </c>
      <c r="J7" s="67" t="e">
        <f>report!#REF!</f>
        <v>#REF!</v>
      </c>
      <c r="K7" s="79" t="e">
        <f>report!#REF!</f>
        <v>#REF!</v>
      </c>
      <c r="L7" s="79" t="e">
        <f>report!#REF!</f>
        <v>#REF!</v>
      </c>
      <c r="M7" s="67" t="e">
        <f>report!#REF!</f>
        <v>#REF!</v>
      </c>
      <c r="N7" s="67" t="e">
        <f>report!#REF!</f>
        <v>#REF!</v>
      </c>
      <c r="O7" s="67" t="e">
        <f>report!#REF!</f>
        <v>#REF!</v>
      </c>
      <c r="P7" s="67" t="e">
        <f>report!#REF!</f>
        <v>#REF!</v>
      </c>
      <c r="Q7" s="79" t="e">
        <f>report!#REF!</f>
        <v>#REF!</v>
      </c>
      <c r="R7" s="67" t="e">
        <f>report!#REF!</f>
        <v>#REF!</v>
      </c>
      <c r="S7" s="67" t="e">
        <f>report!#REF!</f>
        <v>#REF!</v>
      </c>
      <c r="T7" s="67" t="e">
        <f>report!#REF!</f>
        <v>#REF!</v>
      </c>
      <c r="U7" s="67" t="e">
        <f>report!#REF!</f>
        <v>#REF!</v>
      </c>
      <c r="V7" s="79" t="e">
        <f>U7+Q7</f>
        <v>#REF!</v>
      </c>
    </row>
    <row r="8" spans="1:22" ht="13.5" thickBot="1">
      <c r="A8" s="18"/>
      <c r="B8" s="80">
        <f>SUM(B6:B7)</f>
        <v>779287</v>
      </c>
      <c r="C8" s="66">
        <f>SUM(C6:C7)</f>
        <v>199654.11859821004</v>
      </c>
      <c r="D8" s="66">
        <f>SUM(D6:D7)</f>
        <v>200923.24431370007</v>
      </c>
      <c r="E8" s="66">
        <f aca="true" t="shared" si="0" ref="E8:N8">SUM(E6:E7)</f>
        <v>154557.60449607</v>
      </c>
      <c r="F8" s="62">
        <f t="shared" si="0"/>
        <v>555134.9674079801</v>
      </c>
      <c r="G8" s="66" t="e">
        <f t="shared" si="0"/>
        <v>#REF!</v>
      </c>
      <c r="H8" s="66" t="e">
        <f t="shared" si="0"/>
        <v>#REF!</v>
      </c>
      <c r="I8" s="66" t="e">
        <f t="shared" si="0"/>
        <v>#REF!</v>
      </c>
      <c r="J8" s="66" t="e">
        <f t="shared" si="0"/>
        <v>#REF!</v>
      </c>
      <c r="K8" s="80" t="e">
        <f t="shared" si="0"/>
        <v>#REF!</v>
      </c>
      <c r="L8" s="80" t="e">
        <f t="shared" si="0"/>
        <v>#REF!</v>
      </c>
      <c r="M8" s="66" t="e">
        <f t="shared" si="0"/>
        <v>#REF!</v>
      </c>
      <c r="N8" s="66" t="e">
        <f t="shared" si="0"/>
        <v>#REF!</v>
      </c>
      <c r="O8" s="66" t="e">
        <f aca="true" t="shared" si="1" ref="O8:V8">SUM(O6:O7)</f>
        <v>#REF!</v>
      </c>
      <c r="P8" s="66" t="e">
        <f t="shared" si="1"/>
        <v>#REF!</v>
      </c>
      <c r="Q8" s="80" t="e">
        <f t="shared" si="1"/>
        <v>#REF!</v>
      </c>
      <c r="R8" s="66" t="e">
        <f t="shared" si="1"/>
        <v>#REF!</v>
      </c>
      <c r="S8" s="66" t="e">
        <f t="shared" si="1"/>
        <v>#REF!</v>
      </c>
      <c r="T8" s="66" t="e">
        <f t="shared" si="1"/>
        <v>#REF!</v>
      </c>
      <c r="U8" s="66" t="e">
        <f t="shared" si="1"/>
        <v>#REF!</v>
      </c>
      <c r="V8" s="80" t="e">
        <f t="shared" si="1"/>
        <v>#REF!</v>
      </c>
    </row>
    <row r="9" spans="1:22" ht="13.5" thickTop="1">
      <c r="A9" s="18"/>
      <c r="B9" s="85"/>
      <c r="C9" s="71"/>
      <c r="D9" s="71"/>
      <c r="E9" s="71"/>
      <c r="F9" s="72"/>
      <c r="K9" s="83"/>
      <c r="L9" s="83"/>
      <c r="Q9" s="83"/>
      <c r="V9" s="83"/>
    </row>
    <row r="10" spans="1:22" ht="12.75">
      <c r="A10" s="18" t="s">
        <v>61</v>
      </c>
      <c r="B10" s="79">
        <v>617815</v>
      </c>
      <c r="C10" s="67">
        <f>report!C48</f>
        <v>238733.72725493</v>
      </c>
      <c r="D10" s="67">
        <f>report!D48</f>
        <v>396929.49847447005</v>
      </c>
      <c r="E10" s="67">
        <f>report!E48</f>
        <v>138204.74082701004</v>
      </c>
      <c r="F10" s="61">
        <f>SUM(C10:E10)</f>
        <v>773867.9665564101</v>
      </c>
      <c r="G10" s="67" t="e">
        <f>report!#REF!</f>
        <v>#REF!</v>
      </c>
      <c r="H10" s="67" t="e">
        <f>report!#REF!</f>
        <v>#REF!</v>
      </c>
      <c r="I10" s="67" t="e">
        <f>report!#REF!</f>
        <v>#REF!</v>
      </c>
      <c r="J10" s="67" t="e">
        <f>report!#REF!</f>
        <v>#REF!</v>
      </c>
      <c r="K10" s="79" t="e">
        <f>report!#REF!</f>
        <v>#REF!</v>
      </c>
      <c r="L10" s="79" t="e">
        <f>report!#REF!</f>
        <v>#REF!</v>
      </c>
      <c r="M10" s="67" t="e">
        <f>report!#REF!</f>
        <v>#REF!</v>
      </c>
      <c r="N10" s="67" t="e">
        <f>report!#REF!</f>
        <v>#REF!</v>
      </c>
      <c r="O10" s="67" t="e">
        <f>report!#REF!</f>
        <v>#REF!</v>
      </c>
      <c r="P10" s="67" t="e">
        <f>report!#REF!</f>
        <v>#REF!</v>
      </c>
      <c r="Q10" s="79" t="e">
        <f>report!#REF!</f>
        <v>#REF!</v>
      </c>
      <c r="R10" s="67" t="e">
        <f>report!#REF!</f>
        <v>#REF!</v>
      </c>
      <c r="S10" s="67" t="e">
        <f>report!#REF!</f>
        <v>#REF!</v>
      </c>
      <c r="T10" s="67" t="e">
        <f>report!#REF!</f>
        <v>#REF!</v>
      </c>
      <c r="U10" s="67" t="e">
        <f>report!#REF!</f>
        <v>#REF!</v>
      </c>
      <c r="V10" s="79" t="e">
        <f>U10+Q10</f>
        <v>#REF!</v>
      </c>
    </row>
    <row r="11" spans="1:22" ht="12.75">
      <c r="A11" s="18" t="s">
        <v>75</v>
      </c>
      <c r="B11" s="79">
        <v>110190</v>
      </c>
      <c r="C11" s="67">
        <f>-report!C67</f>
        <v>25845.579675710003</v>
      </c>
      <c r="D11" s="67">
        <f>-report!D67</f>
        <v>-4278.921432420021</v>
      </c>
      <c r="E11" s="67">
        <f>-report!E67</f>
        <v>-5298.99225874</v>
      </c>
      <c r="F11" s="61">
        <f>SUM(C11:E11)</f>
        <v>16267.665984549982</v>
      </c>
      <c r="G11" s="67" t="e">
        <f>-report!#REF!</f>
        <v>#REF!</v>
      </c>
      <c r="H11" s="67" t="e">
        <f>-report!#REF!</f>
        <v>#REF!</v>
      </c>
      <c r="I11" s="67" t="e">
        <f>-report!#REF!</f>
        <v>#REF!</v>
      </c>
      <c r="J11" s="67" t="e">
        <f>-report!#REF!</f>
        <v>#REF!</v>
      </c>
      <c r="K11" s="79" t="e">
        <f>-report!#REF!</f>
        <v>#REF!</v>
      </c>
      <c r="L11" s="79" t="e">
        <f>-report!#REF!</f>
        <v>#REF!</v>
      </c>
      <c r="M11" s="67" t="e">
        <f>-report!#REF!</f>
        <v>#REF!</v>
      </c>
      <c r="N11" s="67" t="e">
        <f>-report!#REF!</f>
        <v>#REF!</v>
      </c>
      <c r="O11" s="67" t="e">
        <f>-report!#REF!</f>
        <v>#REF!</v>
      </c>
      <c r="P11" s="67" t="e">
        <f>-report!#REF!</f>
        <v>#REF!</v>
      </c>
      <c r="Q11" s="79" t="e">
        <f>-report!#REF!</f>
        <v>#REF!</v>
      </c>
      <c r="R11" s="67" t="e">
        <f>-report!#REF!</f>
        <v>#REF!</v>
      </c>
      <c r="S11" s="67" t="e">
        <f>-report!#REF!</f>
        <v>#REF!</v>
      </c>
      <c r="T11" s="67" t="e">
        <f>-report!#REF!</f>
        <v>#REF!</v>
      </c>
      <c r="U11" s="67" t="e">
        <f>-report!#REF!</f>
        <v>#REF!</v>
      </c>
      <c r="V11" s="79" t="e">
        <f>U11+Q11</f>
        <v>#REF!</v>
      </c>
    </row>
    <row r="12" spans="1:22" ht="13.5" thickBot="1">
      <c r="A12" s="18"/>
      <c r="B12" s="80">
        <f>SUM(B10:B11)</f>
        <v>728005</v>
      </c>
      <c r="C12" s="66">
        <f>SUM(C10:C11)</f>
        <v>264579.30693064</v>
      </c>
      <c r="D12" s="66">
        <f>SUM(D10:D11)</f>
        <v>392650.57704205</v>
      </c>
      <c r="E12" s="66">
        <f aca="true" t="shared" si="2" ref="E12:N12">SUM(E10:E11)</f>
        <v>132905.74856827004</v>
      </c>
      <c r="F12" s="62">
        <f t="shared" si="2"/>
        <v>790135.6325409601</v>
      </c>
      <c r="G12" s="66" t="e">
        <f t="shared" si="2"/>
        <v>#REF!</v>
      </c>
      <c r="H12" s="66" t="e">
        <f t="shared" si="2"/>
        <v>#REF!</v>
      </c>
      <c r="I12" s="66" t="e">
        <f t="shared" si="2"/>
        <v>#REF!</v>
      </c>
      <c r="J12" s="66" t="e">
        <f t="shared" si="2"/>
        <v>#REF!</v>
      </c>
      <c r="K12" s="80" t="e">
        <f t="shared" si="2"/>
        <v>#REF!</v>
      </c>
      <c r="L12" s="80" t="e">
        <f t="shared" si="2"/>
        <v>#REF!</v>
      </c>
      <c r="M12" s="66" t="e">
        <f t="shared" si="2"/>
        <v>#REF!</v>
      </c>
      <c r="N12" s="66" t="e">
        <f t="shared" si="2"/>
        <v>#REF!</v>
      </c>
      <c r="O12" s="66" t="e">
        <f aca="true" t="shared" si="3" ref="O12:V12">SUM(O10:O11)</f>
        <v>#REF!</v>
      </c>
      <c r="P12" s="66" t="e">
        <f t="shared" si="3"/>
        <v>#REF!</v>
      </c>
      <c r="Q12" s="80" t="e">
        <f t="shared" si="3"/>
        <v>#REF!</v>
      </c>
      <c r="R12" s="66" t="e">
        <f t="shared" si="3"/>
        <v>#REF!</v>
      </c>
      <c r="S12" s="66" t="e">
        <f t="shared" si="3"/>
        <v>#REF!</v>
      </c>
      <c r="T12" s="66" t="e">
        <f t="shared" si="3"/>
        <v>#REF!</v>
      </c>
      <c r="U12" s="66" t="e">
        <f t="shared" si="3"/>
        <v>#REF!</v>
      </c>
      <c r="V12" s="80" t="e">
        <f t="shared" si="3"/>
        <v>#REF!</v>
      </c>
    </row>
    <row r="13" spans="1:22" ht="14.25" thickBot="1" thickTop="1">
      <c r="A13" s="18"/>
      <c r="B13" s="81"/>
      <c r="C13" s="74"/>
      <c r="D13" s="74"/>
      <c r="E13" s="74"/>
      <c r="F13" s="130"/>
      <c r="K13" s="83"/>
      <c r="L13" s="83"/>
      <c r="Q13" s="83"/>
      <c r="V13" s="83"/>
    </row>
    <row r="14" spans="1:22" ht="14.25" thickBot="1" thickTop="1">
      <c r="A14" s="24" t="s">
        <v>76</v>
      </c>
      <c r="B14" s="82">
        <v>51282</v>
      </c>
      <c r="C14" s="73">
        <f aca="true" t="shared" si="4" ref="C14:P14">C8-C12</f>
        <v>-64925.18833242997</v>
      </c>
      <c r="D14" s="73">
        <f t="shared" si="4"/>
        <v>-191727.33272834995</v>
      </c>
      <c r="E14" s="73">
        <f t="shared" si="4"/>
        <v>21651.855927799974</v>
      </c>
      <c r="F14" s="131">
        <f t="shared" si="4"/>
        <v>-235000.66513297998</v>
      </c>
      <c r="G14" s="73" t="e">
        <f t="shared" si="4"/>
        <v>#REF!</v>
      </c>
      <c r="H14" s="73" t="e">
        <f t="shared" si="4"/>
        <v>#REF!</v>
      </c>
      <c r="I14" s="73" t="e">
        <f t="shared" si="4"/>
        <v>#REF!</v>
      </c>
      <c r="J14" s="73" t="e">
        <f t="shared" si="4"/>
        <v>#REF!</v>
      </c>
      <c r="K14" s="82" t="e">
        <f t="shared" si="4"/>
        <v>#REF!</v>
      </c>
      <c r="L14" s="82" t="e">
        <f t="shared" si="4"/>
        <v>#REF!</v>
      </c>
      <c r="M14" s="73" t="e">
        <f t="shared" si="4"/>
        <v>#REF!</v>
      </c>
      <c r="N14" s="73" t="e">
        <f t="shared" si="4"/>
        <v>#REF!</v>
      </c>
      <c r="O14" s="73" t="e">
        <f t="shared" si="4"/>
        <v>#REF!</v>
      </c>
      <c r="P14" s="73" t="e">
        <f t="shared" si="4"/>
        <v>#REF!</v>
      </c>
      <c r="Q14" s="82" t="e">
        <f aca="true" t="shared" si="5" ref="Q14:V14">Q8-Q12</f>
        <v>#REF!</v>
      </c>
      <c r="R14" s="73" t="e">
        <f t="shared" si="5"/>
        <v>#REF!</v>
      </c>
      <c r="S14" s="73" t="e">
        <f t="shared" si="5"/>
        <v>#REF!</v>
      </c>
      <c r="T14" s="73" t="e">
        <f t="shared" si="5"/>
        <v>#REF!</v>
      </c>
      <c r="U14" s="73" t="e">
        <f t="shared" si="5"/>
        <v>#REF!</v>
      </c>
      <c r="V14" s="82" t="e">
        <f t="shared" si="5"/>
        <v>#REF!</v>
      </c>
    </row>
    <row r="15" spans="1:22" ht="13.5" thickTop="1">
      <c r="A15" s="24"/>
      <c r="B15" s="34"/>
      <c r="C15" s="35"/>
      <c r="D15" s="35"/>
      <c r="E15" s="35"/>
      <c r="F15" s="36"/>
      <c r="G15" s="5"/>
      <c r="H15" s="5"/>
      <c r="I15" s="5"/>
      <c r="J15" s="5"/>
      <c r="K15" s="133"/>
      <c r="L15" s="133"/>
      <c r="M15" s="5"/>
      <c r="N15" s="5"/>
      <c r="O15" s="5"/>
      <c r="P15" s="5"/>
      <c r="Q15" s="133"/>
      <c r="R15" s="5"/>
      <c r="S15" s="5"/>
      <c r="T15" s="5"/>
      <c r="U15" s="5"/>
      <c r="V15" s="133"/>
    </row>
    <row r="16" spans="1:22" ht="12.75">
      <c r="A16" s="24" t="s">
        <v>77</v>
      </c>
      <c r="B16" s="83"/>
      <c r="C16" s="68"/>
      <c r="D16" s="68"/>
      <c r="E16" s="68"/>
      <c r="F16" s="69"/>
      <c r="K16" s="83"/>
      <c r="L16" s="83"/>
      <c r="Q16" s="83"/>
      <c r="V16" s="83"/>
    </row>
    <row r="17" spans="1:22" ht="12.75">
      <c r="A17" s="42" t="s">
        <v>140</v>
      </c>
      <c r="B17" s="3">
        <v>0</v>
      </c>
      <c r="C17" s="28" t="e">
        <f>-report!#REF!</f>
        <v>#REF!</v>
      </c>
      <c r="D17" s="28">
        <f>-report!D77</f>
        <v>-64271.85540104</v>
      </c>
      <c r="E17" s="28">
        <f>-report!E77</f>
        <v>8149.201295000001</v>
      </c>
      <c r="F17" s="70" t="e">
        <f>SUM(C17:E17)</f>
        <v>#REF!</v>
      </c>
      <c r="G17" s="28" t="e">
        <f>-report!#REF!</f>
        <v>#REF!</v>
      </c>
      <c r="H17" s="28" t="e">
        <f>-report!#REF!</f>
        <v>#REF!</v>
      </c>
      <c r="I17" s="28" t="e">
        <f>-report!#REF!</f>
        <v>#REF!</v>
      </c>
      <c r="J17" s="28" t="e">
        <f>-report!#REF!</f>
        <v>#REF!</v>
      </c>
      <c r="K17" s="3" t="e">
        <f>-report!#REF!</f>
        <v>#REF!</v>
      </c>
      <c r="L17" s="3" t="e">
        <f>-report!#REF!</f>
        <v>#REF!</v>
      </c>
      <c r="M17" s="28" t="e">
        <f>-report!#REF!</f>
        <v>#REF!</v>
      </c>
      <c r="N17" s="28" t="e">
        <f>-report!#REF!</f>
        <v>#REF!</v>
      </c>
      <c r="O17" s="28" t="e">
        <f>-report!#REF!</f>
        <v>#REF!</v>
      </c>
      <c r="P17" s="28" t="e">
        <f>-report!#REF!</f>
        <v>#REF!</v>
      </c>
      <c r="Q17" s="3" t="e">
        <f>report!#REF!</f>
        <v>#REF!</v>
      </c>
      <c r="R17" s="28" t="e">
        <f>report!#REF!</f>
        <v>#REF!</v>
      </c>
      <c r="S17" s="28" t="e">
        <f>report!#REF!</f>
        <v>#REF!</v>
      </c>
      <c r="T17" s="28" t="e">
        <f>report!#REF!</f>
        <v>#REF!</v>
      </c>
      <c r="U17" s="28" t="e">
        <f>report!#REF!</f>
        <v>#REF!</v>
      </c>
      <c r="V17" s="79" t="e">
        <f>U17+Q17</f>
        <v>#REF!</v>
      </c>
    </row>
    <row r="18" spans="1:22" ht="12.75">
      <c r="A18" s="18" t="s">
        <v>79</v>
      </c>
      <c r="B18" s="3">
        <v>14923</v>
      </c>
      <c r="C18" s="28">
        <f>report!C77</f>
        <v>2980.90328769</v>
      </c>
      <c r="D18" s="28">
        <f>report!D79</f>
        <v>0</v>
      </c>
      <c r="E18" s="28">
        <f>report!E79</f>
        <v>0</v>
      </c>
      <c r="F18" s="70">
        <v>0</v>
      </c>
      <c r="G18" s="28" t="e">
        <f>report!#REF!</f>
        <v>#REF!</v>
      </c>
      <c r="H18" s="28" t="e">
        <f>report!#REF!</f>
        <v>#REF!</v>
      </c>
      <c r="I18" s="28" t="e">
        <f>report!#REF!</f>
        <v>#REF!</v>
      </c>
      <c r="J18" s="28" t="e">
        <f>report!#REF!</f>
        <v>#REF!</v>
      </c>
      <c r="K18" s="3" t="e">
        <f>report!#REF!</f>
        <v>#REF!</v>
      </c>
      <c r="L18" s="3" t="e">
        <f>report!#REF!</f>
        <v>#REF!</v>
      </c>
      <c r="M18" s="28" t="e">
        <f>report!#REF!</f>
        <v>#REF!</v>
      </c>
      <c r="N18" s="28" t="e">
        <f>report!#REF!</f>
        <v>#REF!</v>
      </c>
      <c r="O18" s="28" t="e">
        <f>-report!#REF!</f>
        <v>#REF!</v>
      </c>
      <c r="P18" s="28" t="e">
        <f>-report!#REF!</f>
        <v>#REF!</v>
      </c>
      <c r="Q18" s="3" t="e">
        <f>report!#REF!</f>
        <v>#REF!</v>
      </c>
      <c r="R18" s="28" t="e">
        <f>report!#REF!</f>
        <v>#REF!</v>
      </c>
      <c r="S18" s="28" t="e">
        <f>report!#REF!</f>
        <v>#REF!</v>
      </c>
      <c r="T18" s="28" t="e">
        <f>report!#REF!</f>
        <v>#REF!</v>
      </c>
      <c r="U18" s="28" t="e">
        <f>report!#REF!</f>
        <v>#REF!</v>
      </c>
      <c r="V18" s="79" t="e">
        <f>U18+Q18</f>
        <v>#REF!</v>
      </c>
    </row>
    <row r="19" spans="1:22" ht="12.75">
      <c r="A19" s="18" t="s">
        <v>80</v>
      </c>
      <c r="B19" s="3">
        <v>-80615</v>
      </c>
      <c r="C19" s="28">
        <f>-report!C82</f>
        <v>0</v>
      </c>
      <c r="D19" s="28">
        <f>-report!D82</f>
        <v>0</v>
      </c>
      <c r="E19" s="28">
        <f>-report!E82</f>
        <v>0</v>
      </c>
      <c r="F19" s="61">
        <f>SUM(C19:E19)</f>
        <v>0</v>
      </c>
      <c r="G19" s="28" t="e">
        <f>-report!#REF!</f>
        <v>#REF!</v>
      </c>
      <c r="H19" s="28" t="e">
        <f>-report!#REF!</f>
        <v>#REF!</v>
      </c>
      <c r="I19" s="28" t="e">
        <f>-report!#REF!</f>
        <v>#REF!</v>
      </c>
      <c r="J19" s="28" t="e">
        <f>-report!#REF!</f>
        <v>#REF!</v>
      </c>
      <c r="K19" s="3" t="e">
        <f>-report!#REF!</f>
        <v>#REF!</v>
      </c>
      <c r="L19" s="3" t="e">
        <f>-report!#REF!</f>
        <v>#REF!</v>
      </c>
      <c r="M19" s="28" t="e">
        <f>-report!#REF!</f>
        <v>#REF!</v>
      </c>
      <c r="N19" s="28" t="e">
        <f>-report!#REF!</f>
        <v>#REF!</v>
      </c>
      <c r="O19" s="28" t="e">
        <f>-report!#REF!</f>
        <v>#REF!</v>
      </c>
      <c r="P19" s="28" t="e">
        <f>-report!#REF!</f>
        <v>#REF!</v>
      </c>
      <c r="Q19" s="3" t="e">
        <f>report!#REF!</f>
        <v>#REF!</v>
      </c>
      <c r="R19" s="28" t="e">
        <f>report!#REF!</f>
        <v>#REF!</v>
      </c>
      <c r="S19" s="28" t="e">
        <f>report!#REF!</f>
        <v>#REF!</v>
      </c>
      <c r="T19" s="28" t="e">
        <f>report!#REF!</f>
        <v>#REF!</v>
      </c>
      <c r="U19" s="28" t="e">
        <f>report!#REF!</f>
        <v>#REF!</v>
      </c>
      <c r="V19" s="79" t="e">
        <f>U19+Q19</f>
        <v>#REF!</v>
      </c>
    </row>
    <row r="20" spans="1:22" ht="12.75">
      <c r="A20" s="18" t="s">
        <v>127</v>
      </c>
      <c r="B20" s="3"/>
      <c r="C20" s="28"/>
      <c r="D20" s="28"/>
      <c r="E20" s="28"/>
      <c r="F20" s="61"/>
      <c r="G20" s="28"/>
      <c r="H20" s="28"/>
      <c r="I20" s="28"/>
      <c r="J20" s="28"/>
      <c r="K20" s="3"/>
      <c r="L20" s="3"/>
      <c r="M20" s="28"/>
      <c r="N20" s="28"/>
      <c r="O20" s="28"/>
      <c r="P20" s="28"/>
      <c r="Q20" s="3" t="e">
        <f>report!#REF!</f>
        <v>#REF!</v>
      </c>
      <c r="R20" s="28" t="e">
        <f>report!#REF!</f>
        <v>#REF!</v>
      </c>
      <c r="S20" s="28" t="e">
        <f>report!#REF!</f>
        <v>#REF!</v>
      </c>
      <c r="T20" s="28" t="e">
        <f>report!#REF!</f>
        <v>#REF!</v>
      </c>
      <c r="U20" s="28" t="e">
        <f>report!#REF!</f>
        <v>#REF!</v>
      </c>
      <c r="V20" s="79" t="e">
        <f>U20+Q20</f>
        <v>#REF!</v>
      </c>
    </row>
    <row r="21" spans="1:22" ht="12.75">
      <c r="A21" s="24" t="s">
        <v>81</v>
      </c>
      <c r="B21" s="45">
        <v>-65692</v>
      </c>
      <c r="C21" s="75" t="e">
        <f aca="true" t="shared" si="6" ref="C21:P21">SUM(C17:C19)</f>
        <v>#REF!</v>
      </c>
      <c r="D21" s="75">
        <f t="shared" si="6"/>
        <v>-64271.85540104</v>
      </c>
      <c r="E21" s="75">
        <f t="shared" si="6"/>
        <v>8149.201295000001</v>
      </c>
      <c r="F21" s="76" t="e">
        <f t="shared" si="6"/>
        <v>#REF!</v>
      </c>
      <c r="G21" s="75" t="e">
        <f t="shared" si="6"/>
        <v>#REF!</v>
      </c>
      <c r="H21" s="75" t="e">
        <f t="shared" si="6"/>
        <v>#REF!</v>
      </c>
      <c r="I21" s="75" t="e">
        <f t="shared" si="6"/>
        <v>#REF!</v>
      </c>
      <c r="J21" s="75" t="e">
        <f t="shared" si="6"/>
        <v>#REF!</v>
      </c>
      <c r="K21" s="45" t="e">
        <f t="shared" si="6"/>
        <v>#REF!</v>
      </c>
      <c r="L21" s="45" t="e">
        <f t="shared" si="6"/>
        <v>#REF!</v>
      </c>
      <c r="M21" s="75" t="e">
        <f t="shared" si="6"/>
        <v>#REF!</v>
      </c>
      <c r="N21" s="75" t="e">
        <f t="shared" si="6"/>
        <v>#REF!</v>
      </c>
      <c r="O21" s="75" t="e">
        <f t="shared" si="6"/>
        <v>#REF!</v>
      </c>
      <c r="P21" s="75" t="e">
        <f t="shared" si="6"/>
        <v>#REF!</v>
      </c>
      <c r="Q21" s="45" t="e">
        <f aca="true" t="shared" si="7" ref="Q21:V21">Q17+Q19+Q20</f>
        <v>#REF!</v>
      </c>
      <c r="R21" s="75" t="e">
        <f t="shared" si="7"/>
        <v>#REF!</v>
      </c>
      <c r="S21" s="75" t="e">
        <f t="shared" si="7"/>
        <v>#REF!</v>
      </c>
      <c r="T21" s="75" t="e">
        <f t="shared" si="7"/>
        <v>#REF!</v>
      </c>
      <c r="U21" s="76" t="e">
        <f t="shared" si="7"/>
        <v>#REF!</v>
      </c>
      <c r="V21" s="76" t="e">
        <f t="shared" si="7"/>
        <v>#REF!</v>
      </c>
    </row>
    <row r="22" spans="1:22" ht="13.5" thickBot="1">
      <c r="A22" s="158" t="s">
        <v>82</v>
      </c>
      <c r="B22" s="84">
        <f>B14+B21</f>
        <v>-14410</v>
      </c>
      <c r="C22" s="78" t="e">
        <f aca="true" t="shared" si="8" ref="C22:M22">C14-C21</f>
        <v>#REF!</v>
      </c>
      <c r="D22" s="78">
        <f t="shared" si="8"/>
        <v>-127455.47732730996</v>
      </c>
      <c r="E22" s="78">
        <f t="shared" si="8"/>
        <v>13502.654632799973</v>
      </c>
      <c r="F22" s="132" t="e">
        <f t="shared" si="8"/>
        <v>#REF!</v>
      </c>
      <c r="G22" s="78" t="e">
        <f t="shared" si="8"/>
        <v>#REF!</v>
      </c>
      <c r="H22" s="78" t="e">
        <f t="shared" si="8"/>
        <v>#REF!</v>
      </c>
      <c r="I22" s="78" t="e">
        <f t="shared" si="8"/>
        <v>#REF!</v>
      </c>
      <c r="J22" s="78" t="e">
        <f t="shared" si="8"/>
        <v>#REF!</v>
      </c>
      <c r="K22" s="84" t="e">
        <f t="shared" si="8"/>
        <v>#REF!</v>
      </c>
      <c r="L22" s="84" t="e">
        <f t="shared" si="8"/>
        <v>#REF!</v>
      </c>
      <c r="M22" s="78" t="e">
        <f t="shared" si="8"/>
        <v>#REF!</v>
      </c>
      <c r="N22" s="78" t="e">
        <f aca="true" t="shared" si="9" ref="N22:V22">N21+N14</f>
        <v>#REF!</v>
      </c>
      <c r="O22" s="78" t="e">
        <f t="shared" si="9"/>
        <v>#REF!</v>
      </c>
      <c r="P22" s="78" t="e">
        <f t="shared" si="9"/>
        <v>#REF!</v>
      </c>
      <c r="Q22" s="84" t="e">
        <f t="shared" si="9"/>
        <v>#REF!</v>
      </c>
      <c r="R22" s="78" t="e">
        <f t="shared" si="9"/>
        <v>#REF!</v>
      </c>
      <c r="S22" s="78" t="e">
        <f t="shared" si="9"/>
        <v>#REF!</v>
      </c>
      <c r="T22" s="78" t="e">
        <f t="shared" si="9"/>
        <v>#REF!</v>
      </c>
      <c r="U22" s="132" t="e">
        <f t="shared" si="9"/>
        <v>#REF!</v>
      </c>
      <c r="V22" s="132" t="e">
        <f t="shared" si="9"/>
        <v>#REF!</v>
      </c>
    </row>
    <row r="23" spans="1:22" ht="13.5" thickTop="1">
      <c r="A23" s="7"/>
      <c r="B23" s="55"/>
      <c r="C23" s="109">
        <f>report!C88</f>
        <v>-35392.35594003998</v>
      </c>
      <c r="D23" s="109">
        <f>report!D88</f>
        <v>-151361.96919268995</v>
      </c>
      <c r="E23" s="109">
        <f>report!E88</f>
        <v>11797.931054379966</v>
      </c>
      <c r="F23" s="109">
        <f>report!G88</f>
        <v>-306489.24584605</v>
      </c>
      <c r="G23" s="109" t="e">
        <f>report!#REF!</f>
        <v>#REF!</v>
      </c>
      <c r="H23" s="109" t="e">
        <f>report!#REF!</f>
        <v>#REF!</v>
      </c>
      <c r="I23" s="109" t="e">
        <f>report!#REF!</f>
        <v>#REF!</v>
      </c>
      <c r="J23" s="109" t="e">
        <f>report!#REF!</f>
        <v>#REF!</v>
      </c>
      <c r="K23" s="109" t="e">
        <f>report!#REF!</f>
        <v>#REF!</v>
      </c>
      <c r="L23" s="109" t="e">
        <f>report!#REF!</f>
        <v>#REF!</v>
      </c>
      <c r="M23" s="109" t="e">
        <f>report!#REF!</f>
        <v>#REF!</v>
      </c>
      <c r="N23" s="109" t="e">
        <f>report!#REF!</f>
        <v>#REF!</v>
      </c>
      <c r="O23" s="109" t="e">
        <f>report!#REF!</f>
        <v>#REF!</v>
      </c>
      <c r="P23" s="109" t="e">
        <f>report!#REF!</f>
        <v>#REF!</v>
      </c>
      <c r="Q23" s="109" t="e">
        <f>report!#REF!</f>
        <v>#REF!</v>
      </c>
      <c r="R23" s="109" t="e">
        <f>report!#REF!</f>
        <v>#REF!</v>
      </c>
      <c r="S23" s="109" t="e">
        <f>report!#REF!</f>
        <v>#REF!</v>
      </c>
      <c r="T23" s="109" t="e">
        <f>report!#REF!</f>
        <v>#REF!</v>
      </c>
      <c r="U23" s="109" t="e">
        <f>report!#REF!</f>
        <v>#REF!</v>
      </c>
      <c r="V23" s="109" t="e">
        <f>report!#REF!</f>
        <v>#REF!</v>
      </c>
    </row>
    <row r="24" spans="4:22" ht="12.75">
      <c r="D24" s="39">
        <f aca="true" t="shared" si="10" ref="D24:V24">D23-D22</f>
        <v>-23906.491865379998</v>
      </c>
      <c r="E24" s="39">
        <f t="shared" si="10"/>
        <v>-1704.7235784200075</v>
      </c>
      <c r="F24" s="39" t="e">
        <f t="shared" si="10"/>
        <v>#REF!</v>
      </c>
      <c r="G24" s="39" t="e">
        <f t="shared" si="10"/>
        <v>#REF!</v>
      </c>
      <c r="H24" s="39" t="e">
        <f t="shared" si="10"/>
        <v>#REF!</v>
      </c>
      <c r="I24" s="39" t="e">
        <f t="shared" si="10"/>
        <v>#REF!</v>
      </c>
      <c r="J24" s="39" t="e">
        <f t="shared" si="10"/>
        <v>#REF!</v>
      </c>
      <c r="K24" s="39" t="e">
        <f t="shared" si="10"/>
        <v>#REF!</v>
      </c>
      <c r="L24" s="39" t="e">
        <f t="shared" si="10"/>
        <v>#REF!</v>
      </c>
      <c r="M24" s="39" t="e">
        <f t="shared" si="10"/>
        <v>#REF!</v>
      </c>
      <c r="N24" s="39" t="e">
        <f t="shared" si="10"/>
        <v>#REF!</v>
      </c>
      <c r="O24" s="39" t="e">
        <f t="shared" si="10"/>
        <v>#REF!</v>
      </c>
      <c r="P24" s="39" t="e">
        <f t="shared" si="10"/>
        <v>#REF!</v>
      </c>
      <c r="Q24" s="39" t="e">
        <f>Q23-Q22</f>
        <v>#REF!</v>
      </c>
      <c r="R24" s="39" t="e">
        <f>R23-R22</f>
        <v>#REF!</v>
      </c>
      <c r="S24" s="39" t="e">
        <f t="shared" si="10"/>
        <v>#REF!</v>
      </c>
      <c r="T24" s="39" t="e">
        <f t="shared" si="10"/>
        <v>#REF!</v>
      </c>
      <c r="U24" s="39" t="e">
        <f t="shared" si="10"/>
        <v>#REF!</v>
      </c>
      <c r="V24" s="39" t="e">
        <f t="shared" si="10"/>
        <v>#REF!</v>
      </c>
    </row>
    <row r="25" spans="1:42" ht="12.75">
      <c r="A25" s="144" t="s">
        <v>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ht="12.75">
      <c r="A26" s="6" t="s">
        <v>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ht="12.75">
      <c r="A27" s="6" t="s">
        <v>125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5" ht="20.25" customHeight="1">
      <c r="A28" s="25"/>
      <c r="B28" s="25"/>
      <c r="D28" s="126" t="s">
        <v>112</v>
      </c>
      <c r="F28" s="125"/>
      <c r="G28" s="126" t="s">
        <v>117</v>
      </c>
      <c r="K28" s="129"/>
      <c r="L28" s="114"/>
      <c r="M28" s="372" t="s">
        <v>121</v>
      </c>
      <c r="N28" s="373"/>
      <c r="O28" s="143"/>
      <c r="P28" s="113"/>
      <c r="Q28" s="22"/>
      <c r="R28" s="22"/>
      <c r="S28" s="22"/>
      <c r="T28" s="22"/>
      <c r="U28" s="25"/>
      <c r="V28" s="135"/>
      <c r="W28" s="22"/>
      <c r="X28" s="22"/>
      <c r="Y28" s="22"/>
      <c r="Z28" s="22"/>
      <c r="AA28" s="22"/>
      <c r="AB28" s="25"/>
      <c r="AC28" s="25"/>
      <c r="AD28" s="25"/>
      <c r="AE28" s="25"/>
      <c r="AF28" s="22"/>
      <c r="AG28" s="22"/>
      <c r="AH28" s="22"/>
      <c r="AI28" s="22"/>
      <c r="AJ28" s="135"/>
      <c r="AK28" s="22"/>
      <c r="AL28" s="22"/>
      <c r="AM28" s="22"/>
      <c r="AN28" s="22"/>
      <c r="AO28" s="22"/>
      <c r="AP28" s="25"/>
      <c r="AQ28" s="68"/>
      <c r="AR28" s="68"/>
      <c r="AS28" s="68"/>
    </row>
    <row r="29" spans="1:45" ht="23.25" customHeight="1">
      <c r="A29" s="57"/>
      <c r="B29" s="57"/>
      <c r="C29" s="138" t="s">
        <v>113</v>
      </c>
      <c r="D29" s="138" t="s">
        <v>114</v>
      </c>
      <c r="E29" s="138" t="s">
        <v>115</v>
      </c>
      <c r="F29" s="139" t="s">
        <v>116</v>
      </c>
      <c r="G29" s="138" t="s">
        <v>113</v>
      </c>
      <c r="H29" s="140" t="s">
        <v>114</v>
      </c>
      <c r="I29" s="142" t="s">
        <v>115</v>
      </c>
      <c r="J29" s="140" t="s">
        <v>116</v>
      </c>
      <c r="K29" s="140" t="s">
        <v>86</v>
      </c>
      <c r="L29" s="138" t="s">
        <v>122</v>
      </c>
      <c r="M29" s="138" t="s">
        <v>123</v>
      </c>
      <c r="N29" s="140" t="s">
        <v>120</v>
      </c>
      <c r="O29" s="140" t="s">
        <v>116</v>
      </c>
      <c r="P29" s="137" t="s">
        <v>126</v>
      </c>
      <c r="Q29" s="136"/>
      <c r="R29" s="136"/>
      <c r="S29" s="68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68"/>
      <c r="AR29" s="68"/>
      <c r="AS29" s="68"/>
    </row>
    <row r="30" spans="1:45" ht="12.75">
      <c r="A30" s="25"/>
      <c r="B30" s="25"/>
      <c r="C30" s="113" t="s">
        <v>41</v>
      </c>
      <c r="D30" s="113" t="s">
        <v>41</v>
      </c>
      <c r="E30" s="113" t="s">
        <v>41</v>
      </c>
      <c r="F30" s="113" t="s">
        <v>41</v>
      </c>
      <c r="G30" s="113" t="s">
        <v>41</v>
      </c>
      <c r="H30" s="113" t="s">
        <v>41</v>
      </c>
      <c r="I30" s="113" t="s">
        <v>41</v>
      </c>
      <c r="J30" s="113" t="s">
        <v>41</v>
      </c>
      <c r="K30" s="113" t="s">
        <v>41</v>
      </c>
      <c r="L30" s="113" t="s">
        <v>41</v>
      </c>
      <c r="M30" s="113" t="s">
        <v>41</v>
      </c>
      <c r="N30" s="114" t="s">
        <v>41</v>
      </c>
      <c r="O30" s="113" t="s">
        <v>41</v>
      </c>
      <c r="P30" s="141" t="s">
        <v>41</v>
      </c>
      <c r="Q30" s="22"/>
      <c r="R30" s="22"/>
      <c r="S30" s="68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5"/>
      <c r="AH30" s="25"/>
      <c r="AI30" s="25"/>
      <c r="AJ30" s="22"/>
      <c r="AK30" s="22"/>
      <c r="AL30" s="22"/>
      <c r="AM30" s="22"/>
      <c r="AN30" s="22"/>
      <c r="AO30" s="22"/>
      <c r="AP30" s="22"/>
      <c r="AQ30" s="68"/>
      <c r="AR30" s="68"/>
      <c r="AS30" s="68"/>
    </row>
    <row r="31" spans="1:45" ht="12.75">
      <c r="A31" s="59" t="s">
        <v>3</v>
      </c>
      <c r="B31" s="8"/>
      <c r="C31" s="26"/>
      <c r="D31" s="26"/>
      <c r="E31" s="44"/>
      <c r="F31" s="18"/>
      <c r="G31" s="26"/>
      <c r="H31" s="26"/>
      <c r="I31" s="44"/>
      <c r="J31" s="18"/>
      <c r="K31" s="18"/>
      <c r="L31" s="44"/>
      <c r="M31" s="44"/>
      <c r="N31" s="9"/>
      <c r="O31" s="44"/>
      <c r="P31" s="18"/>
      <c r="Q31" s="25"/>
      <c r="R31" s="25"/>
      <c r="S31" s="68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68"/>
      <c r="AR31" s="68"/>
      <c r="AS31" s="68"/>
    </row>
    <row r="32" spans="1:45" ht="12.75">
      <c r="A32" s="60" t="s">
        <v>4</v>
      </c>
      <c r="B32" s="63"/>
      <c r="C32" s="60"/>
      <c r="D32" s="60"/>
      <c r="E32" s="44"/>
      <c r="F32" s="18"/>
      <c r="G32" s="60"/>
      <c r="H32" s="60"/>
      <c r="I32" s="44"/>
      <c r="J32" s="18"/>
      <c r="K32" s="18"/>
      <c r="L32" s="44"/>
      <c r="M32" s="44"/>
      <c r="N32" s="18"/>
      <c r="O32" s="44"/>
      <c r="P32" s="18"/>
      <c r="Q32" s="25"/>
      <c r="R32" s="25"/>
      <c r="S32" s="68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68"/>
      <c r="AR32" s="68"/>
      <c r="AS32" s="68"/>
    </row>
    <row r="33" spans="1:45" ht="8.25" customHeight="1">
      <c r="A33" s="44"/>
      <c r="B33" s="7"/>
      <c r="C33" s="44"/>
      <c r="D33" s="44"/>
      <c r="E33" s="44"/>
      <c r="F33" s="18"/>
      <c r="G33" s="44"/>
      <c r="H33" s="44"/>
      <c r="I33" s="44"/>
      <c r="J33" s="18"/>
      <c r="K33" s="18"/>
      <c r="L33" s="44"/>
      <c r="M33" s="44"/>
      <c r="N33" s="18"/>
      <c r="O33" s="44"/>
      <c r="P33" s="18"/>
      <c r="Q33" s="25"/>
      <c r="R33" s="25"/>
      <c r="S33" s="68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68"/>
      <c r="AR33" s="68"/>
      <c r="AS33" s="68"/>
    </row>
    <row r="34" spans="1:45" ht="12.75">
      <c r="A34" s="44" t="s">
        <v>6</v>
      </c>
      <c r="B34" s="64"/>
      <c r="C34" s="61">
        <f>cofog!E12</f>
        <v>0</v>
      </c>
      <c r="D34" s="61">
        <f>cofog!I12</f>
        <v>0</v>
      </c>
      <c r="E34" s="61">
        <f>cofog!M12</f>
        <v>0</v>
      </c>
      <c r="F34" s="3">
        <f>C34+D34+E34</f>
        <v>0</v>
      </c>
      <c r="G34" s="61">
        <f>cofog!R12</f>
        <v>0</v>
      </c>
      <c r="H34" s="61">
        <f>cofog!V12</f>
        <v>0</v>
      </c>
      <c r="I34" s="61">
        <f>cofog!Z12</f>
        <v>0</v>
      </c>
      <c r="J34" s="3">
        <f>G34+H34+I34</f>
        <v>0</v>
      </c>
      <c r="K34" s="3">
        <f>J34+F34</f>
        <v>0</v>
      </c>
      <c r="L34" s="61" t="e">
        <f>cofog!AF12</f>
        <v>#REF!</v>
      </c>
      <c r="M34" s="61" t="e">
        <f>cofog!AJ12</f>
        <v>#REF!</v>
      </c>
      <c r="N34" s="61" t="e">
        <f>cofog!AN12</f>
        <v>#REF!</v>
      </c>
      <c r="O34" s="3" t="e">
        <f>L34+M34+N34</f>
        <v>#REF!</v>
      </c>
      <c r="P34" s="79" t="e">
        <f>O34+K34</f>
        <v>#REF!</v>
      </c>
      <c r="Q34" s="67"/>
      <c r="R34" s="67"/>
      <c r="S34" s="68"/>
      <c r="T34" s="28"/>
      <c r="U34" s="28"/>
      <c r="V34" s="28"/>
      <c r="W34" s="28"/>
      <c r="X34" s="28"/>
      <c r="Y34" s="28"/>
      <c r="Z34" s="28"/>
      <c r="AA34" s="28"/>
      <c r="AB34" s="28"/>
      <c r="AC34" s="120"/>
      <c r="AD34" s="120"/>
      <c r="AE34" s="120"/>
      <c r="AF34" s="28"/>
      <c r="AG34" s="67"/>
      <c r="AH34" s="67"/>
      <c r="AI34" s="67"/>
      <c r="AJ34" s="28"/>
      <c r="AK34" s="67"/>
      <c r="AL34" s="67"/>
      <c r="AM34" s="67"/>
      <c r="AN34" s="28"/>
      <c r="AO34" s="28"/>
      <c r="AP34" s="28"/>
      <c r="AQ34" s="68"/>
      <c r="AR34" s="68"/>
      <c r="AS34" s="68"/>
    </row>
    <row r="35" spans="1:45" ht="12.75">
      <c r="A35" s="44"/>
      <c r="B35" s="7"/>
      <c r="C35" s="79"/>
      <c r="D35" s="79"/>
      <c r="E35" s="79"/>
      <c r="F35" s="3"/>
      <c r="G35" s="79"/>
      <c r="H35" s="79"/>
      <c r="I35" s="79"/>
      <c r="J35" s="3"/>
      <c r="K35" s="3"/>
      <c r="L35" s="79"/>
      <c r="M35" s="79"/>
      <c r="N35" s="79"/>
      <c r="O35" s="3"/>
      <c r="P35" s="79"/>
      <c r="Q35" s="67"/>
      <c r="R35" s="67"/>
      <c r="S35" s="68"/>
      <c r="T35" s="28"/>
      <c r="U35" s="28"/>
      <c r="V35" s="28"/>
      <c r="W35" s="28"/>
      <c r="X35" s="28"/>
      <c r="Y35" s="28"/>
      <c r="Z35" s="28"/>
      <c r="AA35" s="28"/>
      <c r="AB35" s="28"/>
      <c r="AC35" s="25"/>
      <c r="AD35" s="25"/>
      <c r="AE35" s="25"/>
      <c r="AF35" s="28"/>
      <c r="AG35" s="67"/>
      <c r="AH35" s="67"/>
      <c r="AI35" s="67"/>
      <c r="AJ35" s="28"/>
      <c r="AK35" s="67"/>
      <c r="AL35" s="67"/>
      <c r="AM35" s="67"/>
      <c r="AN35" s="28"/>
      <c r="AO35" s="28"/>
      <c r="AP35" s="28"/>
      <c r="AQ35" s="68"/>
      <c r="AR35" s="68"/>
      <c r="AS35" s="68"/>
    </row>
    <row r="36" spans="1:45" ht="12.75">
      <c r="A36" s="44" t="s">
        <v>12</v>
      </c>
      <c r="B36" s="64"/>
      <c r="C36" s="79">
        <f>cofog!E14</f>
        <v>9153.68692</v>
      </c>
      <c r="D36" s="79">
        <f>cofog!I14</f>
        <v>8502.39102</v>
      </c>
      <c r="E36" s="79">
        <f>cofog!M14</f>
        <v>7478.722645</v>
      </c>
      <c r="F36" s="3">
        <f>C36+D36+E36</f>
        <v>25134.800584999997</v>
      </c>
      <c r="G36" s="79">
        <f>cofog!R14</f>
        <v>364.400183</v>
      </c>
      <c r="H36" s="79">
        <f>cofog!V14</f>
        <v>11122.350677999999</v>
      </c>
      <c r="I36" s="79">
        <f>cofog!Z14</f>
        <v>94941.88993421</v>
      </c>
      <c r="J36" s="3">
        <f>G36+H36+I36</f>
        <v>106428.64079521</v>
      </c>
      <c r="K36" s="3">
        <f>J36+F36</f>
        <v>131563.44138021</v>
      </c>
      <c r="L36" s="79">
        <f>cofog!AF14</f>
        <v>1674.9642749999998</v>
      </c>
      <c r="M36" s="79">
        <f>cofog!AJ14</f>
        <v>8416.398547</v>
      </c>
      <c r="N36" s="79">
        <f>cofog!AN14</f>
        <v>257698.88288388</v>
      </c>
      <c r="O36" s="3">
        <f>L36+M36+N36</f>
        <v>267790.24570588</v>
      </c>
      <c r="P36" s="79">
        <f>O36+K36</f>
        <v>399353.68708609</v>
      </c>
      <c r="Q36" s="67"/>
      <c r="R36" s="67"/>
      <c r="S36" s="68"/>
      <c r="T36" s="28"/>
      <c r="U36" s="28"/>
      <c r="V36" s="28"/>
      <c r="W36" s="28"/>
      <c r="X36" s="28"/>
      <c r="Y36" s="28"/>
      <c r="Z36" s="28"/>
      <c r="AA36" s="28"/>
      <c r="AB36" s="28"/>
      <c r="AC36" s="120"/>
      <c r="AD36" s="120"/>
      <c r="AE36" s="120"/>
      <c r="AF36" s="28"/>
      <c r="AG36" s="67"/>
      <c r="AH36" s="67"/>
      <c r="AI36" s="67"/>
      <c r="AJ36" s="28"/>
      <c r="AK36" s="67"/>
      <c r="AL36" s="67"/>
      <c r="AM36" s="67"/>
      <c r="AN36" s="28"/>
      <c r="AO36" s="28"/>
      <c r="AP36" s="28"/>
      <c r="AQ36" s="68"/>
      <c r="AR36" s="68"/>
      <c r="AS36" s="68"/>
    </row>
    <row r="37" spans="1:45" ht="12.75">
      <c r="A37" s="44"/>
      <c r="B37" s="7"/>
      <c r="C37" s="79"/>
      <c r="D37" s="79"/>
      <c r="E37" s="79"/>
      <c r="F37" s="3"/>
      <c r="G37" s="79"/>
      <c r="H37" s="79"/>
      <c r="I37" s="79"/>
      <c r="J37" s="3"/>
      <c r="K37" s="3"/>
      <c r="L37" s="79"/>
      <c r="M37" s="79"/>
      <c r="N37" s="79"/>
      <c r="O37" s="3"/>
      <c r="P37" s="79"/>
      <c r="Q37" s="67"/>
      <c r="R37" s="67"/>
      <c r="S37" s="68"/>
      <c r="T37" s="28"/>
      <c r="U37" s="28"/>
      <c r="V37" s="28"/>
      <c r="W37" s="28"/>
      <c r="X37" s="28"/>
      <c r="Y37" s="28"/>
      <c r="Z37" s="28"/>
      <c r="AA37" s="28"/>
      <c r="AB37" s="28"/>
      <c r="AC37" s="25"/>
      <c r="AD37" s="25"/>
      <c r="AE37" s="25"/>
      <c r="AF37" s="28"/>
      <c r="AG37" s="67"/>
      <c r="AH37" s="67"/>
      <c r="AI37" s="67"/>
      <c r="AJ37" s="28"/>
      <c r="AK37" s="67"/>
      <c r="AL37" s="67"/>
      <c r="AM37" s="67"/>
      <c r="AN37" s="28"/>
      <c r="AO37" s="28"/>
      <c r="AP37" s="28"/>
      <c r="AQ37" s="68"/>
      <c r="AR37" s="68"/>
      <c r="AS37" s="68"/>
    </row>
    <row r="38" spans="1:45" ht="12.75">
      <c r="A38" s="44" t="s">
        <v>18</v>
      </c>
      <c r="B38" s="64"/>
      <c r="C38" s="79">
        <f>cofog!E16</f>
        <v>6305.5160510000005</v>
      </c>
      <c r="D38" s="79">
        <f>cofog!I16</f>
        <v>7997.533373000001</v>
      </c>
      <c r="E38" s="79">
        <f>cofog!M16</f>
        <v>812.8953469999999</v>
      </c>
      <c r="F38" s="3">
        <f>C38+D38+E38</f>
        <v>15115.944771</v>
      </c>
      <c r="G38" s="79">
        <f>cofog!R16</f>
        <v>164.280899</v>
      </c>
      <c r="H38" s="79">
        <f>cofog!V16</f>
        <v>1441.84052</v>
      </c>
      <c r="I38" s="79">
        <f>cofog!Z16</f>
        <v>0</v>
      </c>
      <c r="J38" s="3">
        <f>G38+H38+I38</f>
        <v>1606.121419</v>
      </c>
      <c r="K38" s="3">
        <f>J38+F38</f>
        <v>16722.06619</v>
      </c>
      <c r="L38" s="79">
        <f>cofog!AF16</f>
        <v>4150.114373</v>
      </c>
      <c r="M38" s="79">
        <f>cofog!AJ16</f>
        <v>3484.31293466</v>
      </c>
      <c r="N38" s="79">
        <f>cofog!AN16</f>
        <v>1342.506331</v>
      </c>
      <c r="O38" s="3">
        <f>L38+M38+N38</f>
        <v>8976.93363866</v>
      </c>
      <c r="P38" s="79">
        <f>O38+K38</f>
        <v>25698.999828660002</v>
      </c>
      <c r="Q38" s="67"/>
      <c r="R38" s="67"/>
      <c r="S38" s="68"/>
      <c r="T38" s="28"/>
      <c r="U38" s="28"/>
      <c r="V38" s="28"/>
      <c r="W38" s="28"/>
      <c r="X38" s="28"/>
      <c r="Y38" s="28"/>
      <c r="Z38" s="28"/>
      <c r="AA38" s="28"/>
      <c r="AB38" s="28"/>
      <c r="AC38" s="120"/>
      <c r="AD38" s="120"/>
      <c r="AE38" s="120"/>
      <c r="AF38" s="28"/>
      <c r="AG38" s="67"/>
      <c r="AH38" s="67"/>
      <c r="AI38" s="67"/>
      <c r="AJ38" s="28"/>
      <c r="AK38" s="67"/>
      <c r="AL38" s="67"/>
      <c r="AM38" s="67"/>
      <c r="AN38" s="28"/>
      <c r="AO38" s="28"/>
      <c r="AP38" s="28"/>
      <c r="AQ38" s="68"/>
      <c r="AR38" s="68"/>
      <c r="AS38" s="68"/>
    </row>
    <row r="39" spans="1:45" ht="12.75">
      <c r="A39" s="44"/>
      <c r="B39" s="7"/>
      <c r="C39" s="79"/>
      <c r="D39" s="79"/>
      <c r="E39" s="79"/>
      <c r="F39" s="3"/>
      <c r="G39" s="79"/>
      <c r="H39" s="79"/>
      <c r="I39" s="79"/>
      <c r="J39" s="3"/>
      <c r="K39" s="3"/>
      <c r="L39" s="79"/>
      <c r="M39" s="79"/>
      <c r="N39" s="79"/>
      <c r="O39" s="3"/>
      <c r="P39" s="79"/>
      <c r="Q39" s="67"/>
      <c r="R39" s="67"/>
      <c r="S39" s="68"/>
      <c r="T39" s="28"/>
      <c r="U39" s="28"/>
      <c r="V39" s="28"/>
      <c r="W39" s="28"/>
      <c r="X39" s="28"/>
      <c r="Y39" s="28"/>
      <c r="Z39" s="28"/>
      <c r="AA39" s="28"/>
      <c r="AB39" s="28"/>
      <c r="AC39" s="25"/>
      <c r="AD39" s="25"/>
      <c r="AE39" s="25"/>
      <c r="AF39" s="28"/>
      <c r="AG39" s="67"/>
      <c r="AH39" s="67"/>
      <c r="AI39" s="67"/>
      <c r="AJ39" s="28"/>
      <c r="AK39" s="67"/>
      <c r="AL39" s="67"/>
      <c r="AM39" s="67"/>
      <c r="AN39" s="28"/>
      <c r="AO39" s="28"/>
      <c r="AP39" s="28"/>
      <c r="AQ39" s="68"/>
      <c r="AR39" s="68"/>
      <c r="AS39" s="68"/>
    </row>
    <row r="40" spans="1:45" ht="12.75">
      <c r="A40" s="44" t="s">
        <v>105</v>
      </c>
      <c r="B40" s="64"/>
      <c r="C40" s="79">
        <f>cofog!E18</f>
        <v>3572.9322919999995</v>
      </c>
      <c r="D40" s="79">
        <f>cofog!I18</f>
        <v>3234.2884170500006</v>
      </c>
      <c r="E40" s="79">
        <f>cofog!M18</f>
        <v>0</v>
      </c>
      <c r="F40" s="3">
        <f>C40+D40+E40</f>
        <v>6807.22070905</v>
      </c>
      <c r="G40" s="79">
        <f>cofog!R18</f>
        <v>224.22271400000002</v>
      </c>
      <c r="H40" s="79" t="e">
        <f>cofog!V18</f>
        <v>#REF!</v>
      </c>
      <c r="I40" s="79">
        <f>cofog!Z18</f>
        <v>0</v>
      </c>
      <c r="J40" s="3" t="e">
        <f>G40+H40+I40</f>
        <v>#REF!</v>
      </c>
      <c r="K40" s="3" t="e">
        <f>J40+F40</f>
        <v>#REF!</v>
      </c>
      <c r="L40" s="79">
        <f>cofog!AF18</f>
        <v>1902.16628</v>
      </c>
      <c r="M40" s="79">
        <f>cofog!AJ18</f>
        <v>3234.2884170500006</v>
      </c>
      <c r="N40" s="79">
        <f>cofog!AN18</f>
        <v>85</v>
      </c>
      <c r="O40" s="3">
        <f>L40+M40+N40</f>
        <v>5221.4546970500005</v>
      </c>
      <c r="P40" s="79" t="e">
        <f>O40+K40</f>
        <v>#REF!</v>
      </c>
      <c r="Q40" s="67"/>
      <c r="R40" s="67"/>
      <c r="S40" s="68"/>
      <c r="T40" s="28"/>
      <c r="U40" s="28"/>
      <c r="V40" s="28"/>
      <c r="W40" s="28"/>
      <c r="X40" s="28"/>
      <c r="Y40" s="28"/>
      <c r="Z40" s="28"/>
      <c r="AA40" s="28"/>
      <c r="AB40" s="28"/>
      <c r="AC40" s="120"/>
      <c r="AD40" s="120"/>
      <c r="AE40" s="120"/>
      <c r="AF40" s="28"/>
      <c r="AG40" s="67"/>
      <c r="AH40" s="67"/>
      <c r="AI40" s="67"/>
      <c r="AJ40" s="28"/>
      <c r="AK40" s="67"/>
      <c r="AL40" s="67"/>
      <c r="AM40" s="67"/>
      <c r="AN40" s="28"/>
      <c r="AO40" s="28"/>
      <c r="AP40" s="28"/>
      <c r="AQ40" s="68"/>
      <c r="AR40" s="68"/>
      <c r="AS40" s="68"/>
    </row>
    <row r="41" spans="1:45" ht="12.75">
      <c r="A41" s="44"/>
      <c r="B41" s="7"/>
      <c r="C41" s="79"/>
      <c r="D41" s="79"/>
      <c r="E41" s="79"/>
      <c r="F41" s="3"/>
      <c r="G41" s="79"/>
      <c r="H41" s="79"/>
      <c r="I41" s="79"/>
      <c r="J41" s="3"/>
      <c r="K41" s="3"/>
      <c r="L41" s="79"/>
      <c r="M41" s="79"/>
      <c r="N41" s="79"/>
      <c r="O41" s="3"/>
      <c r="P41" s="79"/>
      <c r="Q41" s="67"/>
      <c r="R41" s="67"/>
      <c r="S41" s="68"/>
      <c r="T41" s="28"/>
      <c r="U41" s="28"/>
      <c r="V41" s="28"/>
      <c r="W41" s="28"/>
      <c r="X41" s="28"/>
      <c r="Y41" s="28"/>
      <c r="Z41" s="28"/>
      <c r="AA41" s="28"/>
      <c r="AB41" s="28"/>
      <c r="AC41" s="25"/>
      <c r="AD41" s="25"/>
      <c r="AE41" s="25"/>
      <c r="AF41" s="28"/>
      <c r="AG41" s="67"/>
      <c r="AH41" s="67"/>
      <c r="AI41" s="67"/>
      <c r="AJ41" s="28"/>
      <c r="AK41" s="67"/>
      <c r="AL41" s="67"/>
      <c r="AM41" s="67"/>
      <c r="AN41" s="28"/>
      <c r="AO41" s="28"/>
      <c r="AP41" s="28"/>
      <c r="AQ41" s="68"/>
      <c r="AR41" s="68"/>
      <c r="AS41" s="68"/>
    </row>
    <row r="42" spans="1:45" ht="12.75">
      <c r="A42" s="44" t="s">
        <v>24</v>
      </c>
      <c r="B42" s="64"/>
      <c r="C42" s="79">
        <f>cofog!E20</f>
        <v>136899.44035366998</v>
      </c>
      <c r="D42" s="79">
        <f>cofog!I20</f>
        <v>38694.31093199999</v>
      </c>
      <c r="E42" s="79">
        <f>cofog!M20</f>
        <v>56304.5121433</v>
      </c>
      <c r="F42" s="3">
        <f>C42+D42+E42</f>
        <v>231898.26342896998</v>
      </c>
      <c r="G42" s="79">
        <f>cofog!R20</f>
        <v>12741.781978999996</v>
      </c>
      <c r="H42" s="79">
        <f>cofog!V20</f>
        <v>18412.049739410002</v>
      </c>
      <c r="I42" s="79">
        <f>cofog!Z20</f>
        <v>9359.29522</v>
      </c>
      <c r="J42" s="3">
        <f>G42+H42+I42</f>
        <v>40513.12693841</v>
      </c>
      <c r="K42" s="3">
        <f>J42+F42</f>
        <v>272411.39036738</v>
      </c>
      <c r="L42" s="79">
        <f>cofog!AF20</f>
        <v>38694.31093200001</v>
      </c>
      <c r="M42" s="79">
        <f>cofog!AJ20</f>
        <v>56304.51214330001</v>
      </c>
      <c r="N42" s="79">
        <f>cofog!AN20</f>
        <v>41900.61727837</v>
      </c>
      <c r="O42" s="3">
        <f>L42+M42+N42</f>
        <v>136899.44035367004</v>
      </c>
      <c r="P42" s="79">
        <f>O42+K42</f>
        <v>409310.83072105004</v>
      </c>
      <c r="Q42" s="67"/>
      <c r="R42" s="67"/>
      <c r="S42" s="68"/>
      <c r="T42" s="28"/>
      <c r="U42" s="28"/>
      <c r="V42" s="28"/>
      <c r="W42" s="28"/>
      <c r="X42" s="28"/>
      <c r="Y42" s="28"/>
      <c r="Z42" s="28"/>
      <c r="AA42" s="28"/>
      <c r="AB42" s="28"/>
      <c r="AC42" s="120"/>
      <c r="AD42" s="120"/>
      <c r="AE42" s="120"/>
      <c r="AF42" s="28"/>
      <c r="AG42" s="67"/>
      <c r="AH42" s="67"/>
      <c r="AI42" s="67"/>
      <c r="AJ42" s="28"/>
      <c r="AK42" s="67"/>
      <c r="AL42" s="67"/>
      <c r="AM42" s="67"/>
      <c r="AN42" s="28"/>
      <c r="AO42" s="28"/>
      <c r="AP42" s="28"/>
      <c r="AQ42" s="68"/>
      <c r="AR42" s="68"/>
      <c r="AS42" s="68"/>
    </row>
    <row r="43" spans="1:45" ht="12.75">
      <c r="A43" s="44"/>
      <c r="B43" s="7"/>
      <c r="C43" s="79"/>
      <c r="D43" s="79"/>
      <c r="E43" s="79"/>
      <c r="F43" s="3"/>
      <c r="G43" s="79"/>
      <c r="H43" s="79"/>
      <c r="I43" s="79"/>
      <c r="J43" s="3"/>
      <c r="K43" s="3"/>
      <c r="L43" s="79"/>
      <c r="M43" s="79"/>
      <c r="N43" s="79"/>
      <c r="O43" s="3"/>
      <c r="P43" s="79"/>
      <c r="Q43" s="67"/>
      <c r="R43" s="67"/>
      <c r="S43" s="68"/>
      <c r="T43" s="28"/>
      <c r="U43" s="28"/>
      <c r="V43" s="28"/>
      <c r="W43" s="28"/>
      <c r="X43" s="28"/>
      <c r="Y43" s="28"/>
      <c r="Z43" s="28"/>
      <c r="AA43" s="28"/>
      <c r="AB43" s="28"/>
      <c r="AC43" s="25"/>
      <c r="AD43" s="25"/>
      <c r="AE43" s="25"/>
      <c r="AF43" s="28"/>
      <c r="AG43" s="67"/>
      <c r="AH43" s="67"/>
      <c r="AI43" s="67"/>
      <c r="AJ43" s="28"/>
      <c r="AK43" s="67"/>
      <c r="AL43" s="67"/>
      <c r="AM43" s="67"/>
      <c r="AN43" s="28"/>
      <c r="AO43" s="28"/>
      <c r="AP43" s="28"/>
      <c r="AQ43" s="68"/>
      <c r="AR43" s="68"/>
      <c r="AS43" s="68"/>
    </row>
    <row r="44" spans="1:45" ht="12.75">
      <c r="A44" s="44" t="s">
        <v>25</v>
      </c>
      <c r="B44" s="64"/>
      <c r="C44" s="79">
        <f>cofog!E22</f>
        <v>-40303</v>
      </c>
      <c r="D44" s="79">
        <f>cofog!I22</f>
        <v>0</v>
      </c>
      <c r="E44" s="79">
        <f>cofog!M22</f>
        <v>0</v>
      </c>
      <c r="F44" s="3">
        <f>C44+D44+E44</f>
        <v>-40303</v>
      </c>
      <c r="G44" s="79">
        <f>cofog!R22</f>
        <v>0</v>
      </c>
      <c r="H44" s="79">
        <f>cofog!V22</f>
        <v>0</v>
      </c>
      <c r="I44" s="79">
        <f>cofog!Z22</f>
        <v>0</v>
      </c>
      <c r="J44" s="3">
        <f>G44+H44+I44</f>
        <v>0</v>
      </c>
      <c r="K44" s="3">
        <f>J44+F44</f>
        <v>-40303</v>
      </c>
      <c r="L44" s="79" t="e">
        <f>cofog!AF22</f>
        <v>#REF!</v>
      </c>
      <c r="M44" s="79" t="e">
        <f>cofog!AJ22</f>
        <v>#REF!</v>
      </c>
      <c r="N44" s="79">
        <f>cofog!AN22</f>
        <v>0</v>
      </c>
      <c r="O44" s="3" t="e">
        <f>L44+M44+N44</f>
        <v>#REF!</v>
      </c>
      <c r="P44" s="79" t="e">
        <f>O44+K44</f>
        <v>#REF!</v>
      </c>
      <c r="Q44" s="67"/>
      <c r="R44" s="67"/>
      <c r="S44" s="68"/>
      <c r="T44" s="28"/>
      <c r="U44" s="28"/>
      <c r="V44" s="28"/>
      <c r="W44" s="28"/>
      <c r="X44" s="28"/>
      <c r="Y44" s="28"/>
      <c r="Z44" s="28"/>
      <c r="AA44" s="28"/>
      <c r="AB44" s="28"/>
      <c r="AC44" s="120"/>
      <c r="AD44" s="120"/>
      <c r="AE44" s="120"/>
      <c r="AF44" s="28"/>
      <c r="AG44" s="67"/>
      <c r="AH44" s="67"/>
      <c r="AI44" s="67"/>
      <c r="AJ44" s="28"/>
      <c r="AK44" s="67"/>
      <c r="AL44" s="67"/>
      <c r="AM44" s="67"/>
      <c r="AN44" s="28"/>
      <c r="AO44" s="28"/>
      <c r="AP44" s="28"/>
      <c r="AQ44" s="68"/>
      <c r="AR44" s="68"/>
      <c r="AS44" s="68"/>
    </row>
    <row r="45" spans="1:45" ht="12.75">
      <c r="A45" s="44"/>
      <c r="B45" s="7"/>
      <c r="C45" s="79"/>
      <c r="D45" s="79"/>
      <c r="E45" s="79"/>
      <c r="F45" s="3"/>
      <c r="G45" s="79"/>
      <c r="H45" s="79"/>
      <c r="I45" s="79"/>
      <c r="J45" s="3"/>
      <c r="K45" s="3"/>
      <c r="L45" s="79"/>
      <c r="M45" s="79"/>
      <c r="N45" s="79"/>
      <c r="O45" s="3"/>
      <c r="P45" s="79"/>
      <c r="Q45" s="67"/>
      <c r="R45" s="67"/>
      <c r="S45" s="68"/>
      <c r="T45" s="28"/>
      <c r="U45" s="28"/>
      <c r="V45" s="28"/>
      <c r="W45" s="28"/>
      <c r="X45" s="28"/>
      <c r="Y45" s="28"/>
      <c r="Z45" s="28"/>
      <c r="AA45" s="28"/>
      <c r="AB45" s="28"/>
      <c r="AC45" s="25"/>
      <c r="AD45" s="25"/>
      <c r="AE45" s="25"/>
      <c r="AF45" s="28"/>
      <c r="AG45" s="67"/>
      <c r="AH45" s="67"/>
      <c r="AI45" s="67"/>
      <c r="AJ45" s="28"/>
      <c r="AK45" s="67"/>
      <c r="AL45" s="67"/>
      <c r="AM45" s="67"/>
      <c r="AN45" s="28"/>
      <c r="AO45" s="28"/>
      <c r="AP45" s="28"/>
      <c r="AQ45" s="68"/>
      <c r="AR45" s="68"/>
      <c r="AS45" s="68"/>
    </row>
    <row r="46" spans="1:45" ht="12.75" hidden="1">
      <c r="A46" s="44" t="s">
        <v>106</v>
      </c>
      <c r="B46" s="7"/>
      <c r="C46" s="79">
        <f>cofog!E24</f>
        <v>0</v>
      </c>
      <c r="D46" s="79">
        <f>cofog!I24</f>
        <v>0</v>
      </c>
      <c r="E46" s="79">
        <f>cofog!M24</f>
        <v>0</v>
      </c>
      <c r="F46" s="3">
        <f>C46+D46+E46</f>
        <v>0</v>
      </c>
      <c r="G46" s="79">
        <f>cofog!R24</f>
        <v>0</v>
      </c>
      <c r="H46" s="79">
        <f>cofog!V24</f>
        <v>0</v>
      </c>
      <c r="I46" s="79">
        <f>cofog!Z24</f>
        <v>0</v>
      </c>
      <c r="J46" s="3">
        <f>G46+H46+I46</f>
        <v>0</v>
      </c>
      <c r="K46" s="3">
        <f>J46+F46</f>
        <v>0</v>
      </c>
      <c r="L46" s="79">
        <f>cofog!AF24</f>
        <v>0</v>
      </c>
      <c r="M46" s="79">
        <f>cofog!AJ24</f>
        <v>0</v>
      </c>
      <c r="N46" s="79">
        <f>cofog!AN24</f>
        <v>0</v>
      </c>
      <c r="O46" s="3">
        <f>L46+M46+N46</f>
        <v>0</v>
      </c>
      <c r="P46" s="79">
        <f>O46+K46</f>
        <v>0</v>
      </c>
      <c r="Q46" s="67"/>
      <c r="R46" s="67"/>
      <c r="S46" s="68"/>
      <c r="T46" s="28"/>
      <c r="U46" s="28"/>
      <c r="V46" s="28"/>
      <c r="W46" s="28"/>
      <c r="X46" s="28"/>
      <c r="Y46" s="28"/>
      <c r="Z46" s="28"/>
      <c r="AA46" s="28"/>
      <c r="AB46" s="28"/>
      <c r="AC46" s="25"/>
      <c r="AD46" s="25"/>
      <c r="AE46" s="25"/>
      <c r="AF46" s="28"/>
      <c r="AG46" s="67"/>
      <c r="AH46" s="67"/>
      <c r="AI46" s="67"/>
      <c r="AJ46" s="28"/>
      <c r="AK46" s="67"/>
      <c r="AL46" s="67"/>
      <c r="AM46" s="67"/>
      <c r="AN46" s="28"/>
      <c r="AO46" s="28"/>
      <c r="AP46" s="28"/>
      <c r="AQ46" s="68"/>
      <c r="AR46" s="68"/>
      <c r="AS46" s="68"/>
    </row>
    <row r="47" spans="1:45" ht="12.75" hidden="1">
      <c r="A47" s="44"/>
      <c r="B47" s="7"/>
      <c r="C47" s="79">
        <f>SUM(B47:B47)*-1</f>
        <v>0</v>
      </c>
      <c r="D47" s="79"/>
      <c r="E47" s="79"/>
      <c r="F47" s="3"/>
      <c r="G47" s="79"/>
      <c r="H47" s="79"/>
      <c r="I47" s="79"/>
      <c r="J47" s="3"/>
      <c r="K47" s="3"/>
      <c r="L47" s="79"/>
      <c r="M47" s="79"/>
      <c r="N47" s="79"/>
      <c r="O47" s="3"/>
      <c r="P47" s="79"/>
      <c r="Q47" s="67"/>
      <c r="R47" s="67"/>
      <c r="S47" s="68"/>
      <c r="T47" s="28"/>
      <c r="U47" s="28"/>
      <c r="V47" s="28"/>
      <c r="W47" s="28"/>
      <c r="X47" s="28"/>
      <c r="Y47" s="28"/>
      <c r="Z47" s="28"/>
      <c r="AA47" s="28"/>
      <c r="AB47" s="28"/>
      <c r="AC47" s="25"/>
      <c r="AD47" s="25"/>
      <c r="AE47" s="25"/>
      <c r="AF47" s="28"/>
      <c r="AG47" s="67"/>
      <c r="AH47" s="67"/>
      <c r="AI47" s="67"/>
      <c r="AJ47" s="28"/>
      <c r="AK47" s="67"/>
      <c r="AL47" s="67"/>
      <c r="AM47" s="67"/>
      <c r="AN47" s="28"/>
      <c r="AO47" s="28"/>
      <c r="AP47" s="28"/>
      <c r="AQ47" s="68"/>
      <c r="AR47" s="68"/>
      <c r="AS47" s="68"/>
    </row>
    <row r="48" spans="1:45" ht="12.75" hidden="1">
      <c r="A48" s="44" t="s">
        <v>26</v>
      </c>
      <c r="B48" s="7"/>
      <c r="C48" s="79">
        <f>cofog!E26</f>
        <v>0</v>
      </c>
      <c r="D48" s="79">
        <f>cofog!I26</f>
        <v>0</v>
      </c>
      <c r="E48" s="79">
        <f>cofog!M26</f>
        <v>0</v>
      </c>
      <c r="F48" s="3">
        <f>C48+D48+E48</f>
        <v>0</v>
      </c>
      <c r="G48" s="79">
        <f>cofog!R26</f>
        <v>0</v>
      </c>
      <c r="H48" s="79">
        <f>cofog!V26</f>
        <v>0</v>
      </c>
      <c r="I48" s="79">
        <f>cofog!Z26</f>
        <v>0</v>
      </c>
      <c r="J48" s="3">
        <f>G48+H48+I48</f>
        <v>0</v>
      </c>
      <c r="K48" s="3">
        <f>J48+F48</f>
        <v>0</v>
      </c>
      <c r="L48" s="79">
        <f>cofog!AF26</f>
        <v>0</v>
      </c>
      <c r="M48" s="79">
        <f>cofog!AJ26</f>
        <v>0</v>
      </c>
      <c r="N48" s="79">
        <f>cofog!AN26</f>
        <v>0</v>
      </c>
      <c r="O48" s="3">
        <f>L48+M48+N48</f>
        <v>0</v>
      </c>
      <c r="P48" s="79">
        <f>O48+K48</f>
        <v>0</v>
      </c>
      <c r="Q48" s="67"/>
      <c r="R48" s="67"/>
      <c r="S48" s="68"/>
      <c r="T48" s="28"/>
      <c r="U48" s="28"/>
      <c r="V48" s="28"/>
      <c r="W48" s="28"/>
      <c r="X48" s="28"/>
      <c r="Y48" s="28"/>
      <c r="Z48" s="28"/>
      <c r="AA48" s="28"/>
      <c r="AB48" s="28"/>
      <c r="AC48" s="25"/>
      <c r="AD48" s="25"/>
      <c r="AE48" s="25"/>
      <c r="AF48" s="28"/>
      <c r="AG48" s="67"/>
      <c r="AH48" s="67"/>
      <c r="AI48" s="67"/>
      <c r="AJ48" s="28"/>
      <c r="AK48" s="67"/>
      <c r="AL48" s="67"/>
      <c r="AM48" s="67"/>
      <c r="AN48" s="28"/>
      <c r="AO48" s="28"/>
      <c r="AP48" s="28"/>
      <c r="AQ48" s="68"/>
      <c r="AR48" s="68"/>
      <c r="AS48" s="68"/>
    </row>
    <row r="49" spans="1:45" ht="1.5" customHeight="1">
      <c r="A49" s="44"/>
      <c r="B49" s="7"/>
      <c r="C49" s="79"/>
      <c r="D49" s="79"/>
      <c r="E49" s="79"/>
      <c r="F49" s="3"/>
      <c r="G49" s="79"/>
      <c r="H49" s="79"/>
      <c r="I49" s="79"/>
      <c r="J49" s="3"/>
      <c r="K49" s="3"/>
      <c r="L49" s="79"/>
      <c r="M49" s="79"/>
      <c r="N49" s="79"/>
      <c r="O49" s="3"/>
      <c r="P49" s="79"/>
      <c r="Q49" s="67"/>
      <c r="R49" s="67"/>
      <c r="S49" s="68"/>
      <c r="T49" s="28"/>
      <c r="U49" s="28"/>
      <c r="V49" s="28"/>
      <c r="W49" s="28"/>
      <c r="X49" s="28"/>
      <c r="Y49" s="28"/>
      <c r="Z49" s="28"/>
      <c r="AA49" s="28"/>
      <c r="AB49" s="28"/>
      <c r="AC49" s="25"/>
      <c r="AD49" s="25"/>
      <c r="AE49" s="25"/>
      <c r="AF49" s="28"/>
      <c r="AG49" s="67"/>
      <c r="AH49" s="67"/>
      <c r="AI49" s="67"/>
      <c r="AJ49" s="28"/>
      <c r="AK49" s="67"/>
      <c r="AL49" s="67"/>
      <c r="AM49" s="67"/>
      <c r="AN49" s="28"/>
      <c r="AO49" s="28"/>
      <c r="AP49" s="28"/>
      <c r="AQ49" s="68"/>
      <c r="AR49" s="68"/>
      <c r="AS49" s="68"/>
    </row>
    <row r="50" spans="1:45" ht="12.75">
      <c r="A50" s="44" t="s">
        <v>28</v>
      </c>
      <c r="B50" s="64"/>
      <c r="C50" s="79">
        <f>cofog!E28</f>
        <v>20959.19921325</v>
      </c>
      <c r="D50" s="79">
        <f>cofog!I28</f>
        <v>1632.25273</v>
      </c>
      <c r="E50" s="79">
        <f>cofog!M28</f>
        <v>16555.36416225</v>
      </c>
      <c r="F50" s="3">
        <f>C50+D50+E50</f>
        <v>39146.8161055</v>
      </c>
      <c r="G50" s="79">
        <f>cofog!R28</f>
        <v>142.572765</v>
      </c>
      <c r="H50" s="79">
        <f>cofog!V28</f>
        <v>546.219</v>
      </c>
      <c r="I50" s="79">
        <f>cofog!Z28</f>
        <v>240</v>
      </c>
      <c r="J50" s="3">
        <f>G50+H50+I50</f>
        <v>928.791765</v>
      </c>
      <c r="K50" s="3">
        <f>J50+F50</f>
        <v>40075.6078705</v>
      </c>
      <c r="L50" s="79">
        <f>cofog!AF28</f>
        <v>1632.25273</v>
      </c>
      <c r="M50" s="79">
        <f>cofog!AJ28</f>
        <v>16555.36416225</v>
      </c>
      <c r="N50" s="79">
        <f>cofog!AN28</f>
        <v>2771.5823210000003</v>
      </c>
      <c r="O50" s="3">
        <f>L50+M50+N50</f>
        <v>20959.19921325</v>
      </c>
      <c r="P50" s="79">
        <f>O50+K50</f>
        <v>61034.807083750005</v>
      </c>
      <c r="Q50" s="67"/>
      <c r="R50" s="67"/>
      <c r="S50" s="68"/>
      <c r="T50" s="28"/>
      <c r="U50" s="28"/>
      <c r="V50" s="28"/>
      <c r="W50" s="28"/>
      <c r="X50" s="28"/>
      <c r="Y50" s="28"/>
      <c r="Z50" s="28"/>
      <c r="AA50" s="28"/>
      <c r="AB50" s="28"/>
      <c r="AC50" s="120"/>
      <c r="AD50" s="120"/>
      <c r="AE50" s="120"/>
      <c r="AF50" s="28"/>
      <c r="AG50" s="67"/>
      <c r="AH50" s="67"/>
      <c r="AI50" s="67"/>
      <c r="AJ50" s="28"/>
      <c r="AK50" s="67"/>
      <c r="AL50" s="67"/>
      <c r="AM50" s="67"/>
      <c r="AN50" s="28"/>
      <c r="AO50" s="28"/>
      <c r="AP50" s="28"/>
      <c r="AQ50" s="68"/>
      <c r="AR50" s="68"/>
      <c r="AS50" s="68"/>
    </row>
    <row r="51" spans="1:45" ht="12.75">
      <c r="A51" s="44"/>
      <c r="B51" s="7"/>
      <c r="C51" s="79"/>
      <c r="D51" s="79"/>
      <c r="E51" s="79"/>
      <c r="F51" s="3"/>
      <c r="G51" s="79"/>
      <c r="H51" s="79"/>
      <c r="I51" s="79"/>
      <c r="J51" s="3"/>
      <c r="K51" s="3"/>
      <c r="L51" s="79"/>
      <c r="M51" s="79"/>
      <c r="N51" s="79"/>
      <c r="O51" s="3"/>
      <c r="P51" s="79"/>
      <c r="Q51" s="67"/>
      <c r="R51" s="67"/>
      <c r="S51" s="68"/>
      <c r="T51" s="28"/>
      <c r="U51" s="28"/>
      <c r="V51" s="28"/>
      <c r="W51" s="28"/>
      <c r="X51" s="28"/>
      <c r="Y51" s="28"/>
      <c r="Z51" s="28"/>
      <c r="AA51" s="28"/>
      <c r="AB51" s="28"/>
      <c r="AC51" s="25"/>
      <c r="AD51" s="25"/>
      <c r="AE51" s="25"/>
      <c r="AF51" s="28"/>
      <c r="AG51" s="67"/>
      <c r="AH51" s="67"/>
      <c r="AI51" s="67"/>
      <c r="AJ51" s="28"/>
      <c r="AK51" s="67"/>
      <c r="AL51" s="67"/>
      <c r="AM51" s="67"/>
      <c r="AN51" s="28"/>
      <c r="AO51" s="28"/>
      <c r="AP51" s="28"/>
      <c r="AQ51" s="68"/>
      <c r="AR51" s="68"/>
      <c r="AS51" s="68"/>
    </row>
    <row r="52" spans="1:45" ht="12.75">
      <c r="A52" s="44" t="s">
        <v>30</v>
      </c>
      <c r="B52" s="64"/>
      <c r="C52" s="79">
        <f>cofog!E30</f>
        <v>72380.10271571</v>
      </c>
      <c r="D52" s="79">
        <f>cofog!I30</f>
        <v>15969.2768058</v>
      </c>
      <c r="E52" s="79">
        <f>cofog!M30</f>
        <v>5046.63431</v>
      </c>
      <c r="F52" s="3">
        <f>C52+D52+E52</f>
        <v>93396.01383151</v>
      </c>
      <c r="G52" s="79">
        <f>cofog!R30</f>
        <v>30276.430255739993</v>
      </c>
      <c r="H52" s="79">
        <f>cofog!V30</f>
        <v>23208.879858059998</v>
      </c>
      <c r="I52" s="79">
        <f>cofog!Z30</f>
        <v>1032.083451</v>
      </c>
      <c r="J52" s="3">
        <f>G52+H52+I52</f>
        <v>54517.39356479999</v>
      </c>
      <c r="K52" s="3">
        <f>J52+F52</f>
        <v>147913.40739631</v>
      </c>
      <c r="L52" s="79">
        <f>cofog!AF30</f>
        <v>61285.96798870999</v>
      </c>
      <c r="M52" s="79">
        <f>cofog!AJ30</f>
        <v>23061.4537022</v>
      </c>
      <c r="N52" s="79">
        <f>cofog!AN30</f>
        <v>5046.63431</v>
      </c>
      <c r="O52" s="3">
        <f>L52+M52+N52</f>
        <v>89394.05600090999</v>
      </c>
      <c r="P52" s="79">
        <f>O52+K52</f>
        <v>237307.46339722</v>
      </c>
      <c r="Q52" s="67"/>
      <c r="R52" s="67"/>
      <c r="S52" s="68"/>
      <c r="T52" s="28"/>
      <c r="U52" s="28"/>
      <c r="V52" s="28"/>
      <c r="W52" s="28"/>
      <c r="X52" s="28"/>
      <c r="Y52" s="28"/>
      <c r="Z52" s="28"/>
      <c r="AA52" s="28"/>
      <c r="AB52" s="28"/>
      <c r="AC52" s="120"/>
      <c r="AD52" s="120"/>
      <c r="AE52" s="120"/>
      <c r="AF52" s="28"/>
      <c r="AG52" s="67"/>
      <c r="AH52" s="67"/>
      <c r="AI52" s="67"/>
      <c r="AJ52" s="28"/>
      <c r="AK52" s="67"/>
      <c r="AL52" s="67"/>
      <c r="AM52" s="67"/>
      <c r="AN52" s="28"/>
      <c r="AO52" s="28"/>
      <c r="AP52" s="28"/>
      <c r="AQ52" s="68"/>
      <c r="AR52" s="68"/>
      <c r="AS52" s="68"/>
    </row>
    <row r="53" spans="1:45" ht="9" customHeight="1">
      <c r="A53" s="44"/>
      <c r="B53" s="7"/>
      <c r="C53" s="79"/>
      <c r="D53" s="79"/>
      <c r="E53" s="79"/>
      <c r="F53" s="3"/>
      <c r="G53" s="79"/>
      <c r="H53" s="79"/>
      <c r="I53" s="79"/>
      <c r="J53" s="3"/>
      <c r="K53" s="3"/>
      <c r="L53" s="115"/>
      <c r="M53" s="44"/>
      <c r="N53" s="25"/>
      <c r="O53" s="44"/>
      <c r="P53" s="79"/>
      <c r="Q53" s="25"/>
      <c r="R53" s="25"/>
      <c r="S53" s="68"/>
      <c r="T53" s="25"/>
      <c r="U53" s="25"/>
      <c r="V53" s="25"/>
      <c r="W53" s="67"/>
      <c r="X53" s="25"/>
      <c r="Y53" s="25"/>
      <c r="Z53" s="25"/>
      <c r="AA53" s="25"/>
      <c r="AB53" s="25"/>
      <c r="AC53" s="25"/>
      <c r="AD53" s="25"/>
      <c r="AE53" s="25"/>
      <c r="AF53" s="134"/>
      <c r="AG53" s="25"/>
      <c r="AH53" s="25"/>
      <c r="AI53" s="25"/>
      <c r="AJ53" s="25"/>
      <c r="AK53" s="67"/>
      <c r="AL53" s="25"/>
      <c r="AM53" s="25"/>
      <c r="AN53" s="25"/>
      <c r="AO53" s="25"/>
      <c r="AP53" s="25"/>
      <c r="AQ53" s="68"/>
      <c r="AR53" s="68"/>
      <c r="AS53" s="68"/>
    </row>
    <row r="54" spans="1:45" ht="13.5" thickBot="1">
      <c r="A54" s="66" t="s">
        <v>32</v>
      </c>
      <c r="B54" s="66">
        <f aca="true" t="shared" si="11" ref="B54:K54">SUM(B34:B53)</f>
        <v>0</v>
      </c>
      <c r="C54" s="80">
        <f t="shared" si="11"/>
        <v>208967.87754562998</v>
      </c>
      <c r="D54" s="80">
        <f t="shared" si="11"/>
        <v>76030.05327784999</v>
      </c>
      <c r="E54" s="80">
        <f t="shared" si="11"/>
        <v>86198.12860755</v>
      </c>
      <c r="F54" s="80">
        <f t="shared" si="11"/>
        <v>371196.05943102995</v>
      </c>
      <c r="G54" s="80">
        <f t="shared" si="11"/>
        <v>43913.68879573999</v>
      </c>
      <c r="H54" s="80" t="e">
        <f t="shared" si="11"/>
        <v>#REF!</v>
      </c>
      <c r="I54" s="80">
        <f t="shared" si="11"/>
        <v>105573.26860521</v>
      </c>
      <c r="J54" s="80" t="e">
        <f t="shared" si="11"/>
        <v>#REF!</v>
      </c>
      <c r="K54" s="80" t="e">
        <f t="shared" si="11"/>
        <v>#REF!</v>
      </c>
      <c r="L54" s="80" t="e">
        <f>SUM(L34:L53)</f>
        <v>#REF!</v>
      </c>
      <c r="M54" s="80" t="e">
        <f>SUM(M34:M53)</f>
        <v>#REF!</v>
      </c>
      <c r="N54" s="80" t="e">
        <f>SUM(N34:N53)</f>
        <v>#REF!</v>
      </c>
      <c r="O54" s="80" t="e">
        <f>SUM(O34:O53)</f>
        <v>#REF!</v>
      </c>
      <c r="P54" s="80" t="e">
        <f>SUM(P34:P53)</f>
        <v>#REF!</v>
      </c>
      <c r="Q54" s="25"/>
      <c r="R54" s="25"/>
      <c r="S54" s="68"/>
      <c r="T54" s="120"/>
      <c r="U54" s="120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68"/>
      <c r="AR54" s="68"/>
      <c r="AS54" s="68"/>
    </row>
    <row r="55" spans="3:45" ht="13.5" thickTop="1">
      <c r="C55">
        <f>cofog!E35</f>
        <v>459908.7164549901</v>
      </c>
      <c r="D55">
        <f>cofog!I35</f>
        <v>304887.48787773</v>
      </c>
      <c r="E55">
        <f>cofog!M35</f>
        <v>155483.28123102002</v>
      </c>
      <c r="F55">
        <f>cofog!N35</f>
        <v>920279.48556374</v>
      </c>
      <c r="G55" t="e">
        <f>cofog!R35</f>
        <v>#REF!</v>
      </c>
      <c r="H55" t="e">
        <f>cofog!V35</f>
        <v>#REF!</v>
      </c>
      <c r="I55" t="e">
        <f>cofog!Z35</f>
        <v>#REF!</v>
      </c>
      <c r="J55" t="e">
        <f>cofog!AA35</f>
        <v>#REF!</v>
      </c>
      <c r="L55" t="e">
        <f>cofog!AF35</f>
        <v>#REF!</v>
      </c>
      <c r="M55" t="e">
        <f>cofog!AJ35</f>
        <v>#REF!</v>
      </c>
      <c r="N55" t="e">
        <f>cofog!AN35</f>
        <v>#REF!</v>
      </c>
      <c r="O55" t="e">
        <f>cofog!AO35</f>
        <v>#REF!</v>
      </c>
      <c r="P55" s="67"/>
      <c r="Q55" s="25"/>
      <c r="R55" s="25"/>
      <c r="S55" s="68"/>
      <c r="T55" s="25"/>
      <c r="U55" s="25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11:45" ht="12.75">
      <c r="K56" s="68"/>
      <c r="L56" s="68"/>
      <c r="M56" s="68"/>
      <c r="N56" s="71"/>
      <c r="O56" s="68"/>
      <c r="P56" s="71" t="e">
        <f>O54+K54</f>
        <v>#REF!</v>
      </c>
      <c r="Q56" s="71"/>
      <c r="R56" s="71"/>
      <c r="S56" s="68"/>
      <c r="T56" s="71"/>
      <c r="U56" s="71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11:45" ht="12.75"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14:45" ht="12.75"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14:45" ht="12.75"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</row>
    <row r="60" spans="14:45" ht="12.75"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</row>
  </sheetData>
  <sheetProtection password="F4C8" sheet="1" formatCells="0" formatColumns="0" formatRows="0" insertColumns="0" insertRows="0" insertHyperlinks="0" deleteColumns="0" deleteRows="0" sort="0" autoFilter="0" pivotTables="0"/>
  <mergeCells count="4">
    <mergeCell ref="C3:F3"/>
    <mergeCell ref="G3:J3"/>
    <mergeCell ref="M3:P3"/>
    <mergeCell ref="M28:N28"/>
  </mergeCells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G87">
      <selection activeCell="T117" sqref="T117"/>
    </sheetView>
  </sheetViews>
  <sheetFormatPr defaultColWidth="9.140625" defaultRowHeight="12.75"/>
  <sheetData/>
  <sheetProtection password="F4C8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4.28125" style="0" bestFit="1" customWidth="1"/>
    <col min="2" max="2" width="13.28125" style="0" bestFit="1" customWidth="1"/>
  </cols>
  <sheetData>
    <row r="1" ht="15.75">
      <c r="A1" s="221" t="s">
        <v>3</v>
      </c>
    </row>
    <row r="2" ht="15">
      <c r="A2" s="240" t="s">
        <v>4</v>
      </c>
    </row>
    <row r="3" spans="1:2" ht="15">
      <c r="A3" s="189"/>
      <c r="B3" s="89" t="s">
        <v>167</v>
      </c>
    </row>
    <row r="4" spans="1:2" ht="15">
      <c r="A4" s="189" t="s">
        <v>6</v>
      </c>
      <c r="B4" s="39">
        <v>176540.73505048</v>
      </c>
    </row>
    <row r="5" spans="1:2" ht="15">
      <c r="A5" s="189" t="s">
        <v>12</v>
      </c>
      <c r="B5" s="39">
        <v>31241.89669419</v>
      </c>
    </row>
    <row r="6" spans="1:2" ht="15">
      <c r="A6" s="189" t="s">
        <v>18</v>
      </c>
      <c r="B6" s="39">
        <v>118424.66146375002</v>
      </c>
    </row>
    <row r="7" spans="1:2" ht="15">
      <c r="A7" s="189" t="s">
        <v>105</v>
      </c>
      <c r="B7" s="39">
        <v>112236.06541393</v>
      </c>
    </row>
    <row r="8" spans="1:2" ht="15">
      <c r="A8" s="189" t="s">
        <v>24</v>
      </c>
      <c r="B8" s="39">
        <v>62278.315938</v>
      </c>
    </row>
    <row r="9" spans="1:2" ht="15">
      <c r="A9" s="189" t="s">
        <v>25</v>
      </c>
      <c r="B9" s="39">
        <v>9735.678125049999</v>
      </c>
    </row>
    <row r="10" spans="1:2" ht="15">
      <c r="A10" s="189" t="s">
        <v>28</v>
      </c>
      <c r="B10" s="39">
        <v>118674.39422173</v>
      </c>
    </row>
    <row r="11" spans="1:2" ht="15">
      <c r="A11" s="189" t="s">
        <v>30</v>
      </c>
      <c r="B11" s="39">
        <v>161009.26760005</v>
      </c>
    </row>
    <row r="12" spans="1:2" ht="15.75">
      <c r="A12" s="259" t="s">
        <v>32</v>
      </c>
      <c r="B12" s="260">
        <f>SUM(B4:B11)</f>
        <v>790141.0145071798</v>
      </c>
    </row>
  </sheetData>
  <sheetProtection password="F4C8" sheet="1" formatCells="0" formatColumns="0" formatRows="0" insertColumns="0" insertRows="0" insertHyperlinks="0" deleteColumns="0" deleteRows="0" sort="0" autoFilter="0" pivotTables="0"/>
  <printOptions/>
  <pageMargins left="0.85" right="0.7" top="1.41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rwilliams</dc:creator>
  <cp:keywords/>
  <dc:description/>
  <cp:lastModifiedBy>Mohamed</cp:lastModifiedBy>
  <cp:lastPrinted>2016-05-24T10:17:51Z</cp:lastPrinted>
  <dcterms:created xsi:type="dcterms:W3CDTF">2006-06-26T10:32:25Z</dcterms:created>
  <dcterms:modified xsi:type="dcterms:W3CDTF">2016-05-25T15:42:16Z</dcterms:modified>
  <cp:category/>
  <cp:version/>
  <cp:contentType/>
  <cp:contentStatus/>
</cp:coreProperties>
</file>