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65" activeTab="0"/>
  </bookViews>
  <sheets>
    <sheet name="REPORT" sheetId="1" r:id="rId1"/>
    <sheet name="COFOG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<sst xmlns="http://schemas.openxmlformats.org/spreadsheetml/2006/main" count="268" uniqueCount="118">
  <si>
    <t>Le' m</t>
  </si>
  <si>
    <t>Domestic Revenue Collection</t>
  </si>
  <si>
    <t>Income Tax</t>
  </si>
  <si>
    <t>Customs and Excise</t>
  </si>
  <si>
    <t>Mineral Resources</t>
  </si>
  <si>
    <t>Fisheries</t>
  </si>
  <si>
    <t>Other Departments</t>
  </si>
  <si>
    <t>Road User Charges</t>
  </si>
  <si>
    <t>Total Domestic Revenue</t>
  </si>
  <si>
    <t>Grants Receipts (Direct Grant Budgetary Support)</t>
  </si>
  <si>
    <t>HIPC Debt Relief Assistance</t>
  </si>
  <si>
    <t>Total Grant Receipts</t>
  </si>
  <si>
    <t>OPERATING EXPENSES</t>
  </si>
  <si>
    <t>Wages, Salaries and Employee Benefits</t>
  </si>
  <si>
    <t>Non-Salary, Non-Interest Recurrent Expenditure</t>
  </si>
  <si>
    <t>o/w: National Revenue Authority</t>
  </si>
  <si>
    <t>Grants to Tertiary Educational Institutions</t>
  </si>
  <si>
    <t>Transfer to Road Fund</t>
  </si>
  <si>
    <t>Transfer to Local Government</t>
  </si>
  <si>
    <t>Domestic Development Expenditures</t>
  </si>
  <si>
    <t>Total Operating Expenses</t>
  </si>
  <si>
    <t>Finance Costs</t>
  </si>
  <si>
    <t>Domestic Interest</t>
  </si>
  <si>
    <t>Foreign Interest</t>
  </si>
  <si>
    <t>Arrears Payments</t>
  </si>
  <si>
    <t>Domestic Suppliers</t>
  </si>
  <si>
    <t>Wages Arrears</t>
  </si>
  <si>
    <t>Parastatal Arrears</t>
  </si>
  <si>
    <t>Project Arrears</t>
  </si>
  <si>
    <t>Cheques payable</t>
  </si>
  <si>
    <t>Deductions unpaid and unclaimed</t>
  </si>
  <si>
    <t>Return cheques and advances payment</t>
  </si>
  <si>
    <t>Subsidies</t>
  </si>
  <si>
    <t>Lending minus Repayment</t>
  </si>
  <si>
    <t>Financing Items</t>
  </si>
  <si>
    <t xml:space="preserve">    Net movement in treasury bills and treasury bearer bonds</t>
  </si>
  <si>
    <t>Privatisation Receipts</t>
  </si>
  <si>
    <t>Loan Amortization</t>
  </si>
  <si>
    <t>Total Financing</t>
  </si>
  <si>
    <t>jan</t>
  </si>
  <si>
    <t>mar</t>
  </si>
  <si>
    <t>feb</t>
  </si>
  <si>
    <t>Others</t>
  </si>
  <si>
    <t>Disinvestments in Public Enterprise</t>
  </si>
  <si>
    <t>Cumulative change in cash balances</t>
  </si>
  <si>
    <t xml:space="preserve">    Ways &amp; Means</t>
  </si>
  <si>
    <t>MDRI Relief</t>
  </si>
  <si>
    <t>PUBLIC NOTICE</t>
  </si>
  <si>
    <t>Budget for the year</t>
  </si>
  <si>
    <t>BY ORDER</t>
  </si>
  <si>
    <t>STATEMENT OF FISCAL OPERATIONS (CONSOLIDATED FUND)</t>
  </si>
  <si>
    <t>Other Grants Received- External Donors</t>
  </si>
  <si>
    <t>MDRI Relief Transfers</t>
  </si>
  <si>
    <t>Transfers to Local Councils</t>
  </si>
  <si>
    <t>Total Non-Operating Activities</t>
  </si>
  <si>
    <t>Net Cashflows from Operating Activities</t>
  </si>
  <si>
    <t>Net Cashflows from  Activities</t>
  </si>
  <si>
    <t>Increase/ (Decrease) in Bank Balances during the period</t>
  </si>
  <si>
    <t>Total Receipts</t>
  </si>
  <si>
    <t>Strategic Stock Fund</t>
  </si>
  <si>
    <t xml:space="preserve"> </t>
  </si>
  <si>
    <t>Strategic Petroleum Revenue</t>
  </si>
  <si>
    <t>Accountant General</t>
  </si>
  <si>
    <t>Grants to Educational Institutions</t>
  </si>
  <si>
    <t>Goods and Services Tax</t>
  </si>
  <si>
    <t>Non-MDRI Relief</t>
  </si>
  <si>
    <t>Programme Loans</t>
  </si>
  <si>
    <t xml:space="preserve"> Global Fund Salary Support</t>
  </si>
  <si>
    <t>Contingency Expenditure</t>
  </si>
  <si>
    <t>Jan 17 - Dec 17</t>
  </si>
  <si>
    <t>Elections Basket Fund</t>
  </si>
  <si>
    <t xml:space="preserve"> Other Projects </t>
  </si>
  <si>
    <t>Actuals for 2017</t>
  </si>
  <si>
    <t>Jan 17-Feb 17</t>
  </si>
  <si>
    <t>Jan 17-Mar 17</t>
  </si>
  <si>
    <t>STATEMENT OF PAYMENTS BY PROGRAMME/ACTIVITIES/FUNCTIONS OF GOVERNMENT</t>
  </si>
  <si>
    <t>FEBRUARY</t>
  </si>
  <si>
    <t>MARCH</t>
  </si>
  <si>
    <t xml:space="preserve">  Personnel Expenditure (Including Wages Arrears)</t>
  </si>
  <si>
    <t xml:space="preserve">   Other Charges (Including Project Arrears)</t>
  </si>
  <si>
    <t xml:space="preserve">  Domestic Development</t>
  </si>
  <si>
    <t>Jan-Feb 17</t>
  </si>
  <si>
    <t>Jan-Mar 17</t>
  </si>
  <si>
    <t>PAYMENTS/EXPENDITURE</t>
  </si>
  <si>
    <t>Operating Account</t>
  </si>
  <si>
    <t>Education Services</t>
  </si>
  <si>
    <t>Health services</t>
  </si>
  <si>
    <t>Social Security and welfare</t>
  </si>
  <si>
    <t>Defence</t>
  </si>
  <si>
    <t>Public Order and safety</t>
  </si>
  <si>
    <t>Recreation, Culture and safety</t>
  </si>
  <si>
    <t>Housing communities amenities</t>
  </si>
  <si>
    <t>Environmental Protection</t>
  </si>
  <si>
    <t>Economic Affairs</t>
  </si>
  <si>
    <t>General Public Services</t>
  </si>
  <si>
    <t>Total Payments/Expenditure</t>
  </si>
  <si>
    <t>Jan 17-Apr 17</t>
  </si>
  <si>
    <t>APRIL</t>
  </si>
  <si>
    <t>Jan-Apr 17</t>
  </si>
  <si>
    <t>Jan 17-May 17</t>
  </si>
  <si>
    <t>MAY</t>
  </si>
  <si>
    <t>Jan-May 17</t>
  </si>
  <si>
    <t>JUNE</t>
  </si>
  <si>
    <t>Jan-June 17</t>
  </si>
  <si>
    <t>Jan 17-Jun 17</t>
  </si>
  <si>
    <t>Jan 17-Jul 17</t>
  </si>
  <si>
    <t>RICHARD S. WILLIAMS</t>
  </si>
  <si>
    <t>JULY</t>
  </si>
  <si>
    <t>Jan-July 17</t>
  </si>
  <si>
    <t>for the month ended 31st August 2017</t>
  </si>
  <si>
    <t>Jan 17-Aug 17</t>
  </si>
  <si>
    <t>(Functional Classification of Expenditures by Heads and Items for the month ended 31st August 2017)</t>
  </si>
  <si>
    <t>AUGUST</t>
  </si>
  <si>
    <t>Jan-Aug 17</t>
  </si>
  <si>
    <t>In accordance to Section 66(1) of the Public Financial Management Act, 2016 a Statement of Receipts into and Payments out of the Consolidated Fund for the month of August 2017  as compared with Budgetary Estimates for the year is hereby published.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</si>
  <si>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</si>
  <si>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 xml:space="preserve">Road User Charges </t>
  </si>
  <si>
    <t>Petroleum Products Exercise Duty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</si>
</sst>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"/>
    <numFmt numFmtId="176" formatCode="0.000"/>
    <numFmt numFmtId="177" formatCode="0.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_-;\-* #,##0.000_-;_-* &quot;-&quot;??_-;_-@_-"/>
    <numFmt numFmtId="184" formatCode="_-* #,##0.0000_-;\-* #,##0.0000_-;_-* &quot;-&quot;??_-;_-@_-"/>
    <numFmt numFmtId="185" formatCode="#,##0.0"/>
    <numFmt numFmtId="186" formatCode="#,##0.000"/>
    <numFmt numFmtId="187" formatCode="#,##0,,_);\(#,##0,,\)"/>
    <numFmt numFmtId="188" formatCode="[$-409]dddd\,\ mmmm\ dd\,\ yyyy"/>
    <numFmt numFmtId="189" formatCode="[$-409]h:mm:ss\ AM/PM"/>
    <numFmt numFmtId="190" formatCode="[$-809]dd\ mmmm\ yyyy"/>
    <numFmt numFmtId="191" formatCode="&quot;$&quot;#,##0,,_);\(&quot;$&quot;#,##0,,\)"/>
  </numFmts>
  <fonts count="5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72" fontId="1" fillId="0" borderId="0" xfId="42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 indent="1"/>
    </xf>
    <xf numFmtId="173" fontId="1" fillId="0" borderId="13" xfId="42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0" fontId="1" fillId="0" borderId="12" xfId="0" applyFont="1" applyBorder="1" applyAlignment="1">
      <alignment horizontal="left" indent="1"/>
    </xf>
    <xf numFmtId="173" fontId="1" fillId="0" borderId="12" xfId="42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4" fillId="0" borderId="11" xfId="42" applyNumberFormat="1" applyFont="1" applyBorder="1" applyAlignment="1">
      <alignment/>
    </xf>
    <xf numFmtId="173" fontId="4" fillId="0" borderId="10" xfId="42" applyNumberFormat="1" applyFont="1" applyBorder="1" applyAlignment="1">
      <alignment/>
    </xf>
    <xf numFmtId="173" fontId="4" fillId="0" borderId="13" xfId="42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173" fontId="4" fillId="0" borderId="15" xfId="42" applyNumberFormat="1" applyFont="1" applyBorder="1" applyAlignment="1">
      <alignment/>
    </xf>
    <xf numFmtId="173" fontId="4" fillId="0" borderId="16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42" applyNumberFormat="1" applyFont="1" applyBorder="1" applyAlignment="1">
      <alignment/>
    </xf>
    <xf numFmtId="0" fontId="4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37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left" indent="3"/>
    </xf>
    <xf numFmtId="173" fontId="4" fillId="0" borderId="12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3" fontId="4" fillId="0" borderId="14" xfId="42" applyNumberFormat="1" applyFont="1" applyBorder="1" applyAlignment="1">
      <alignment/>
    </xf>
    <xf numFmtId="0" fontId="1" fillId="0" borderId="13" xfId="0" applyFont="1" applyBorder="1" applyAlignment="1">
      <alignment horizontal="left" indent="2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3" fontId="1" fillId="0" borderId="13" xfId="42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left" indent="1"/>
    </xf>
    <xf numFmtId="0" fontId="4" fillId="0" borderId="11" xfId="0" applyFont="1" applyBorder="1" applyAlignment="1">
      <alignment wrapText="1"/>
    </xf>
    <xf numFmtId="173" fontId="4" fillId="0" borderId="18" xfId="42" applyNumberFormat="1" applyFont="1" applyBorder="1" applyAlignment="1">
      <alignment/>
    </xf>
    <xf numFmtId="174" fontId="1" fillId="0" borderId="0" xfId="42" applyNumberFormat="1" applyFont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Alignment="1">
      <alignment horizontal="left"/>
    </xf>
    <xf numFmtId="173" fontId="1" fillId="0" borderId="13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5" fillId="0" borderId="0" xfId="59" applyFont="1">
      <alignment/>
      <protection/>
    </xf>
    <xf numFmtId="0" fontId="46" fillId="0" borderId="0" xfId="0" applyFont="1" applyAlignment="1">
      <alignment/>
    </xf>
    <xf numFmtId="0" fontId="5" fillId="0" borderId="0" xfId="59" applyFont="1" applyAlignment="1">
      <alignment/>
      <protection/>
    </xf>
    <xf numFmtId="0" fontId="5" fillId="0" borderId="11" xfId="59" applyFont="1" applyBorder="1" applyAlignment="1">
      <alignment horizontal="center"/>
      <protection/>
    </xf>
    <xf numFmtId="17" fontId="5" fillId="0" borderId="11" xfId="59" applyNumberFormat="1" applyFont="1" applyBorder="1" applyAlignment="1">
      <alignment horizontal="center" vertical="center" wrapText="1"/>
      <protection/>
    </xf>
    <xf numFmtId="172" fontId="5" fillId="0" borderId="11" xfId="44" applyNumberFormat="1" applyFont="1" applyBorder="1" applyAlignment="1">
      <alignment horizontal="center" wrapText="1"/>
    </xf>
    <xf numFmtId="0" fontId="5" fillId="0" borderId="11" xfId="59" applyFont="1" applyBorder="1" applyAlignment="1">
      <alignment horizontal="center" wrapText="1"/>
      <protection/>
    </xf>
    <xf numFmtId="0" fontId="5" fillId="0" borderId="11" xfId="59" applyFont="1" applyFill="1" applyBorder="1" applyAlignment="1">
      <alignment horizontal="center" wrapText="1"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0" fontId="6" fillId="0" borderId="0" xfId="59" applyFont="1">
      <alignment/>
      <protection/>
    </xf>
    <xf numFmtId="172" fontId="5" fillId="0" borderId="20" xfId="44" applyNumberFormat="1" applyFont="1" applyBorder="1" applyAlignment="1">
      <alignment horizontal="center"/>
    </xf>
    <xf numFmtId="172" fontId="5" fillId="0" borderId="20" xfId="44" applyNumberFormat="1" applyFont="1" applyBorder="1" applyAlignment="1">
      <alignment horizontal="right"/>
    </xf>
    <xf numFmtId="0" fontId="5" fillId="0" borderId="2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5" fillId="0" borderId="10" xfId="59" applyFont="1" applyBorder="1">
      <alignment/>
      <protection/>
    </xf>
    <xf numFmtId="0" fontId="46" fillId="0" borderId="10" xfId="0" applyFont="1" applyBorder="1" applyAlignment="1">
      <alignment/>
    </xf>
    <xf numFmtId="0" fontId="46" fillId="0" borderId="19" xfId="0" applyFont="1" applyBorder="1" applyAlignment="1">
      <alignment/>
    </xf>
    <xf numFmtId="0" fontId="7" fillId="0" borderId="13" xfId="59" applyFont="1" applyBorder="1">
      <alignment/>
      <protection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6" fillId="0" borderId="13" xfId="59" applyFont="1" applyBorder="1">
      <alignment/>
      <protection/>
    </xf>
    <xf numFmtId="173" fontId="6" fillId="0" borderId="13" xfId="44" applyNumberFormat="1" applyFont="1" applyBorder="1" applyAlignment="1">
      <alignment horizontal="left" indent="1"/>
    </xf>
    <xf numFmtId="173" fontId="47" fillId="0" borderId="13" xfId="42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173" fontId="46" fillId="0" borderId="13" xfId="42" applyNumberFormat="1" applyFont="1" applyBorder="1" applyAlignment="1">
      <alignment/>
    </xf>
    <xf numFmtId="173" fontId="46" fillId="0" borderId="14" xfId="0" applyNumberFormat="1" applyFont="1" applyBorder="1" applyAlignment="1">
      <alignment/>
    </xf>
    <xf numFmtId="0" fontId="47" fillId="0" borderId="13" xfId="0" applyFont="1" applyBorder="1" applyAlignment="1">
      <alignment horizontal="left"/>
    </xf>
    <xf numFmtId="3" fontId="48" fillId="0" borderId="13" xfId="60" applyNumberFormat="1" applyFont="1" applyBorder="1" applyAlignment="1">
      <alignment vertical="center"/>
      <protection/>
    </xf>
    <xf numFmtId="173" fontId="6" fillId="0" borderId="13" xfId="45" applyNumberFormat="1" applyFont="1" applyBorder="1" applyAlignment="1">
      <alignment/>
    </xf>
    <xf numFmtId="173" fontId="47" fillId="0" borderId="13" xfId="42" applyNumberFormat="1" applyFont="1" applyBorder="1" applyAlignment="1">
      <alignment horizontal="left" indent="3"/>
    </xf>
    <xf numFmtId="173" fontId="49" fillId="0" borderId="13" xfId="42" applyNumberFormat="1" applyFont="1" applyBorder="1" applyAlignment="1">
      <alignment/>
    </xf>
    <xf numFmtId="0" fontId="6" fillId="0" borderId="12" xfId="59" applyFont="1" applyBorder="1">
      <alignment/>
      <protection/>
    </xf>
    <xf numFmtId="173" fontId="47" fillId="0" borderId="12" xfId="42" applyNumberFormat="1" applyFont="1" applyBorder="1" applyAlignment="1">
      <alignment/>
    </xf>
    <xf numFmtId="172" fontId="5" fillId="0" borderId="21" xfId="44" applyNumberFormat="1" applyFont="1" applyBorder="1" applyAlignment="1">
      <alignment/>
    </xf>
    <xf numFmtId="3" fontId="50" fillId="0" borderId="21" xfId="0" applyNumberFormat="1" applyFont="1" applyBorder="1" applyAlignment="1">
      <alignment/>
    </xf>
    <xf numFmtId="173" fontId="50" fillId="0" borderId="21" xfId="0" applyNumberFormat="1" applyFont="1" applyBorder="1" applyAlignment="1">
      <alignment/>
    </xf>
    <xf numFmtId="173" fontId="50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3" fontId="1" fillId="0" borderId="13" xfId="42" applyFont="1" applyBorder="1" applyAlignment="1">
      <alignment/>
    </xf>
    <xf numFmtId="17" fontId="4" fillId="0" borderId="11" xfId="0" applyNumberFormat="1" applyFont="1" applyBorder="1" applyAlignment="1">
      <alignment horizontal="center" vertical="center"/>
    </xf>
    <xf numFmtId="43" fontId="1" fillId="0" borderId="14" xfId="0" applyNumberFormat="1" applyFont="1" applyBorder="1" applyAlignment="1">
      <alignment/>
    </xf>
    <xf numFmtId="187" fontId="1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 horizontal="left" indent="2"/>
    </xf>
    <xf numFmtId="173" fontId="46" fillId="0" borderId="13" xfId="0" applyNumberFormat="1" applyFont="1" applyBorder="1" applyAlignment="1">
      <alignment/>
    </xf>
    <xf numFmtId="17" fontId="4" fillId="0" borderId="10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13" xfId="0" applyFont="1" applyBorder="1" applyAlignment="1" quotePrefix="1">
      <alignment horizontal="left" indent="1"/>
    </xf>
    <xf numFmtId="0" fontId="1" fillId="0" borderId="17" xfId="0" applyFont="1" applyBorder="1" applyAlignment="1">
      <alignment horizontal="left" inden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5" fillId="0" borderId="11" xfId="59" applyFont="1" applyBorder="1" applyAlignment="1">
      <alignment horizontal="center" wrapText="1"/>
      <protection/>
    </xf>
    <xf numFmtId="0" fontId="6" fillId="0" borderId="11" xfId="59" applyFont="1" applyBorder="1" applyAlignment="1">
      <alignment horizontal="center" wrapText="1"/>
      <protection/>
    </xf>
    <xf numFmtId="0" fontId="5" fillId="0" borderId="11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macauley\Desktop\Publication%20reports%202013\performance%20reports%20q1q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DATA\Fiscal%20Report%20Workings%202017\off%20which%20others%20reports%20q1q2%20june%20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1q2%20ne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3q4%20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off%20which%20others%20reports%20q3q4%20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1q2%20aug%20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3q4%20aug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DATA\FMA\Publication%20reports%202014\off%20which%20others%20reports%20q1q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1q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1q2%20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1q2%20current%20fe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1q2%20current%20marc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formance%20reports%20q1q2-april%20upda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ff%20which%20others%20reports%20q1q2-april%20upda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DATA\Fiscal%20Report%20Workings%202017\performance%20reports%20q1q2%20june%20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0">
          <cell r="B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H3">
            <v>0</v>
          </cell>
        </row>
        <row r="4">
          <cell r="C4">
            <v>1525937552.5</v>
          </cell>
          <cell r="H4">
            <v>2680091826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G3">
            <v>95905.03321664</v>
          </cell>
          <cell r="H3">
            <v>128547.33019367</v>
          </cell>
        </row>
        <row r="12">
          <cell r="H12">
            <v>334.45460048</v>
          </cell>
        </row>
        <row r="13">
          <cell r="H13">
            <v>228131.55000000002</v>
          </cell>
        </row>
        <row r="15">
          <cell r="D15">
            <v>-159615.65132204004</v>
          </cell>
        </row>
        <row r="19">
          <cell r="G19">
            <v>-3936.6153505800007</v>
          </cell>
        </row>
        <row r="22">
          <cell r="H22">
            <v>-32631.081888599998</v>
          </cell>
        </row>
        <row r="24">
          <cell r="F24">
            <v>-58267.75359888001</v>
          </cell>
          <cell r="G24">
            <v>-37806.68734057</v>
          </cell>
          <cell r="H24">
            <v>-58046.5512378</v>
          </cell>
        </row>
        <row r="25">
          <cell r="H25">
            <v>-12472.96497797</v>
          </cell>
        </row>
        <row r="29">
          <cell r="B29">
            <v>212272.75566128013</v>
          </cell>
        </row>
        <row r="30">
          <cell r="H30">
            <v>-45225.074440740005</v>
          </cell>
        </row>
        <row r="31">
          <cell r="B31">
            <v>-14841.58182343</v>
          </cell>
        </row>
        <row r="32">
          <cell r="B32">
            <v>36533.07200149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89189.23189383</v>
          </cell>
        </row>
        <row r="4">
          <cell r="C4">
            <v>38379.136290669994</v>
          </cell>
        </row>
        <row r="5">
          <cell r="C5">
            <v>58478.889716109996</v>
          </cell>
        </row>
        <row r="6">
          <cell r="C6">
            <v>11466.758020090003</v>
          </cell>
        </row>
        <row r="7">
          <cell r="C7">
            <v>1854.46481063</v>
          </cell>
        </row>
        <row r="8">
          <cell r="C8">
            <v>8128.68793149</v>
          </cell>
        </row>
        <row r="12">
          <cell r="C12">
            <v>1383.1425</v>
          </cell>
        </row>
        <row r="13">
          <cell r="C13">
            <v>227172.61721712005</v>
          </cell>
        </row>
        <row r="17">
          <cell r="C17">
            <v>-273</v>
          </cell>
        </row>
        <row r="24">
          <cell r="C24">
            <v>-35790.13374070001</v>
          </cell>
        </row>
        <row r="25">
          <cell r="C25">
            <v>-2634.42128987</v>
          </cell>
        </row>
        <row r="26">
          <cell r="C26">
            <v>-3514.0438390000004</v>
          </cell>
        </row>
        <row r="27">
          <cell r="C27">
            <v>-1353.5768580000001</v>
          </cell>
        </row>
        <row r="29">
          <cell r="C29">
            <v>-75454.35403908002</v>
          </cell>
        </row>
        <row r="30">
          <cell r="C30">
            <v>-3712.2799751700004</v>
          </cell>
        </row>
        <row r="31">
          <cell r="C31">
            <v>120698.43314089</v>
          </cell>
        </row>
        <row r="32">
          <cell r="C32">
            <v>-5805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19090000000</v>
          </cell>
        </row>
        <row r="4">
          <cell r="B4">
            <v>13879501974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B8">
            <v>1489.4848427499994</v>
          </cell>
          <cell r="C8">
            <v>6727.097143999998</v>
          </cell>
          <cell r="D8">
            <v>32398.946155950005</v>
          </cell>
          <cell r="F8">
            <v>6635.437068830001</v>
          </cell>
          <cell r="G8">
            <v>2736.1196409499994</v>
          </cell>
        </row>
        <row r="15">
          <cell r="B15">
            <v>-168775.37214812008</v>
          </cell>
          <cell r="F15">
            <v>-156282.42306033</v>
          </cell>
          <cell r="G15">
            <v>-147237.71039301998</v>
          </cell>
          <cell r="H15">
            <v>-148929.01025358003</v>
          </cell>
        </row>
        <row r="16">
          <cell r="C16">
            <v>-100367.85814536</v>
          </cell>
          <cell r="D16">
            <v>-163656.07488146998</v>
          </cell>
          <cell r="F16">
            <v>-235896.41026214988</v>
          </cell>
          <cell r="G16">
            <v>-136185.74064519999</v>
          </cell>
          <cell r="H16">
            <v>-46352.56533535001</v>
          </cell>
        </row>
        <row r="17">
          <cell r="C17">
            <v>-19579.2249</v>
          </cell>
          <cell r="D17">
            <v>-45</v>
          </cell>
          <cell r="F17">
            <v>-80</v>
          </cell>
          <cell r="G17">
            <v>-20300.5719</v>
          </cell>
          <cell r="H17">
            <v>-323.6</v>
          </cell>
        </row>
        <row r="18">
          <cell r="C18">
            <v>-9994.26958765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-110230.07688308999</v>
          </cell>
          <cell r="H19">
            <v>-165429.77155049</v>
          </cell>
        </row>
        <row r="21">
          <cell r="B21">
            <v>-86032.40927204004</v>
          </cell>
          <cell r="C21">
            <v>-39727.71809508</v>
          </cell>
          <cell r="D21">
            <v>3120.2475672200003</v>
          </cell>
          <cell r="F21">
            <v>-1389.5932584499992</v>
          </cell>
          <cell r="G21">
            <v>1164.6152961800026</v>
          </cell>
          <cell r="H21">
            <v>-17311.996754429998</v>
          </cell>
        </row>
        <row r="22">
          <cell r="G22">
            <v>-25120.320550799985</v>
          </cell>
        </row>
        <row r="27">
          <cell r="D27">
            <v>-48035.587426859995</v>
          </cell>
          <cell r="G27">
            <v>-3431.75714294</v>
          </cell>
        </row>
        <row r="30">
          <cell r="B30">
            <v>-11262.384000000002</v>
          </cell>
        </row>
        <row r="31">
          <cell r="H31">
            <v>69238.46100765</v>
          </cell>
        </row>
        <row r="32">
          <cell r="H32">
            <v>-2194.6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76347.46982142</v>
          </cell>
        </row>
        <row r="4">
          <cell r="D4">
            <v>37438.32871683</v>
          </cell>
        </row>
        <row r="5">
          <cell r="D5">
            <v>50256.21546216</v>
          </cell>
        </row>
        <row r="6">
          <cell r="D6">
            <v>9241.127960600003</v>
          </cell>
        </row>
        <row r="7">
          <cell r="D7">
            <v>5279.713660749999</v>
          </cell>
        </row>
        <row r="8">
          <cell r="D8">
            <v>13969.903485550003</v>
          </cell>
        </row>
        <row r="9">
          <cell r="C9">
            <v>24031.22800162</v>
          </cell>
          <cell r="D9">
            <v>19100.85926553</v>
          </cell>
        </row>
        <row r="12">
          <cell r="D12">
            <v>2241.23425735</v>
          </cell>
        </row>
        <row r="15">
          <cell r="C15">
            <v>-188664.34573345003</v>
          </cell>
          <cell r="D15">
            <v>-141466.59441766</v>
          </cell>
        </row>
        <row r="16">
          <cell r="C16">
            <v>-166829.2029293</v>
          </cell>
          <cell r="D16">
            <v>-61788.707097720006</v>
          </cell>
        </row>
        <row r="17">
          <cell r="C17">
            <v>-273</v>
          </cell>
          <cell r="D17">
            <v>-16440.4749</v>
          </cell>
        </row>
        <row r="18">
          <cell r="C18">
            <v>-50017.037997370004</v>
          </cell>
          <cell r="D18">
            <v>-3081.88960045</v>
          </cell>
        </row>
        <row r="19">
          <cell r="C19">
            <v>-175010.43220489</v>
          </cell>
          <cell r="D19">
            <v>-73971.18661131</v>
          </cell>
        </row>
        <row r="21">
          <cell r="C21">
            <v>-171694.38483558997</v>
          </cell>
          <cell r="D21">
            <v>10548.600588840005</v>
          </cell>
        </row>
        <row r="22">
          <cell r="C22">
            <v>29723.938574400017</v>
          </cell>
          <cell r="D22">
            <v>-80507.38607224997</v>
          </cell>
        </row>
        <row r="24">
          <cell r="D24">
            <v>-36522.66414172</v>
          </cell>
        </row>
        <row r="25">
          <cell r="D25">
            <v>-6078.941649900001</v>
          </cell>
        </row>
        <row r="27">
          <cell r="D27">
            <v>-278.94599999999997</v>
          </cell>
        </row>
        <row r="29">
          <cell r="D29">
            <v>81367.09170847</v>
          </cell>
        </row>
        <row r="30">
          <cell r="D30">
            <v>-14855.379076149999</v>
          </cell>
        </row>
        <row r="31">
          <cell r="D31">
            <v>36306.53137001</v>
          </cell>
        </row>
        <row r="32">
          <cell r="D32">
            <v>-2888.8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45440.43432341999</v>
          </cell>
        </row>
        <row r="5">
          <cell r="B5">
            <v>50484.11117113999</v>
          </cell>
        </row>
        <row r="6">
          <cell r="B6">
            <v>13926.623663559996</v>
          </cell>
        </row>
        <row r="7">
          <cell r="B7">
            <v>4562.152893110002</v>
          </cell>
        </row>
        <row r="16">
          <cell r="B16">
            <v>0</v>
          </cell>
        </row>
        <row r="17">
          <cell r="B17">
            <v>-9310.36748976</v>
          </cell>
        </row>
        <row r="18">
          <cell r="B18">
            <v>-16795.44307611</v>
          </cell>
        </row>
        <row r="21">
          <cell r="B21">
            <v>41062.360691499984</v>
          </cell>
        </row>
        <row r="24">
          <cell r="B24">
            <v>-3015.56530265</v>
          </cell>
        </row>
        <row r="25">
          <cell r="B25">
            <v>-253.237311</v>
          </cell>
        </row>
        <row r="26">
          <cell r="B26">
            <v>-2632.898674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>
            <v>41020.37806496999</v>
          </cell>
        </row>
        <row r="5">
          <cell r="C5">
            <v>61868.90742561</v>
          </cell>
        </row>
        <row r="6">
          <cell r="C6">
            <v>10230.67289491</v>
          </cell>
        </row>
        <row r="7">
          <cell r="C7">
            <v>10164.067368879998</v>
          </cell>
        </row>
        <row r="12">
          <cell r="D12">
            <v>-896.29499968</v>
          </cell>
        </row>
        <row r="16">
          <cell r="C16">
            <v>-19579.2249</v>
          </cell>
        </row>
        <row r="17">
          <cell r="C17">
            <v>-9994.26958765</v>
          </cell>
        </row>
        <row r="21">
          <cell r="C21">
            <v>112776.86560540002</v>
          </cell>
        </row>
        <row r="24">
          <cell r="C24">
            <v>-4823.89683491</v>
          </cell>
        </row>
        <row r="25">
          <cell r="C25">
            <v>0</v>
          </cell>
        </row>
        <row r="26">
          <cell r="C26">
            <v>-63869.021881</v>
          </cell>
        </row>
        <row r="28">
          <cell r="C28">
            <v>-5874.601854409998</v>
          </cell>
        </row>
        <row r="29">
          <cell r="C29">
            <v>-7196.1941110200005</v>
          </cell>
        </row>
        <row r="30">
          <cell r="C30">
            <v>30765.42546731</v>
          </cell>
        </row>
        <row r="31">
          <cell r="C31">
            <v>-4813.7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77889.35323408003</v>
          </cell>
          <cell r="C3">
            <v>85636.97829807001</v>
          </cell>
        </row>
        <row r="9">
          <cell r="B9">
            <v>23514.3338777</v>
          </cell>
          <cell r="C9">
            <v>20440.585177260004</v>
          </cell>
        </row>
        <row r="14">
          <cell r="C14">
            <v>-152130.10054739998</v>
          </cell>
        </row>
        <row r="15">
          <cell r="B15">
            <v>-32546.744112089993</v>
          </cell>
        </row>
        <row r="17">
          <cell r="B17">
            <v>-9310.36748976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D4">
            <v>45094.73970988</v>
          </cell>
        </row>
        <row r="5">
          <cell r="D5">
            <v>65502.063773149996</v>
          </cell>
        </row>
        <row r="6">
          <cell r="D6">
            <v>6761.3978425000005</v>
          </cell>
        </row>
        <row r="7">
          <cell r="D7">
            <v>8697.241678</v>
          </cell>
        </row>
        <row r="16">
          <cell r="D16">
            <v>-45</v>
          </cell>
        </row>
        <row r="17">
          <cell r="D17">
            <v>0</v>
          </cell>
        </row>
        <row r="18">
          <cell r="D18">
            <v>-85120.66539899999</v>
          </cell>
        </row>
        <row r="21">
          <cell r="D21">
            <v>-42177.59871389999</v>
          </cell>
        </row>
        <row r="23">
          <cell r="D23">
            <v>-39243.636037059994</v>
          </cell>
        </row>
        <row r="24">
          <cell r="D24">
            <v>-3879.96712435</v>
          </cell>
        </row>
        <row r="25">
          <cell r="D25">
            <v>-127.65315000000001</v>
          </cell>
        </row>
        <row r="28">
          <cell r="D28">
            <v>-10073.872721340002</v>
          </cell>
        </row>
        <row r="29">
          <cell r="D29">
            <v>-11600.13930251</v>
          </cell>
        </row>
        <row r="30">
          <cell r="D30">
            <v>93736.52984924</v>
          </cell>
        </row>
        <row r="31">
          <cell r="D31">
            <v>-3998.65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107305.66216584003</v>
          </cell>
          <cell r="F3">
            <v>72458.89671985999</v>
          </cell>
        </row>
        <row r="4">
          <cell r="F4">
            <v>40026.4282627</v>
          </cell>
          <cell r="G4">
            <v>45328.228164780005</v>
          </cell>
        </row>
        <row r="5">
          <cell r="F5">
            <v>53369.30978571</v>
          </cell>
          <cell r="G5">
            <v>61839.00880355001</v>
          </cell>
        </row>
        <row r="6">
          <cell r="F6">
            <v>9297.32243411</v>
          </cell>
          <cell r="G6">
            <v>22737.031449340004</v>
          </cell>
        </row>
        <row r="7">
          <cell r="F7">
            <v>10808.9140295</v>
          </cell>
          <cell r="G7">
            <v>9220.292444810002</v>
          </cell>
        </row>
        <row r="12">
          <cell r="B12">
            <v>1339.7008799999999</v>
          </cell>
          <cell r="D12">
            <v>1227.53012815</v>
          </cell>
          <cell r="F12">
            <v>2117.6440284</v>
          </cell>
          <cell r="G12">
            <v>0</v>
          </cell>
        </row>
        <row r="16">
          <cell r="F16">
            <v>-80</v>
          </cell>
          <cell r="G16">
            <v>-20300.5719</v>
          </cell>
        </row>
        <row r="17">
          <cell r="F17">
            <v>0</v>
          </cell>
          <cell r="G17">
            <v>0</v>
          </cell>
        </row>
        <row r="18">
          <cell r="F18">
            <v>-54305.5892805</v>
          </cell>
        </row>
        <row r="21">
          <cell r="F21">
            <v>155363.94679600006</v>
          </cell>
        </row>
        <row r="23">
          <cell r="B23">
            <v>-28202.254786160003</v>
          </cell>
          <cell r="C23">
            <v>-46679.24746769001</v>
          </cell>
        </row>
        <row r="24">
          <cell r="F24">
            <v>-6917.918731249998</v>
          </cell>
        </row>
        <row r="25">
          <cell r="F25">
            <v>0</v>
          </cell>
          <cell r="G25">
            <v>0</v>
          </cell>
        </row>
        <row r="26">
          <cell r="F26">
            <v>-980</v>
          </cell>
        </row>
        <row r="28">
          <cell r="F28">
            <v>19414.835862599986</v>
          </cell>
          <cell r="G28">
            <v>-18784.250242439997</v>
          </cell>
        </row>
        <row r="29">
          <cell r="F29">
            <v>-30414.25818427</v>
          </cell>
        </row>
        <row r="30">
          <cell r="F30">
            <v>57049.09263249</v>
          </cell>
          <cell r="G30">
            <v>62182.74070897</v>
          </cell>
        </row>
        <row r="31">
          <cell r="F31">
            <v>-5649.55</v>
          </cell>
          <cell r="G31">
            <v>42266.15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0</v>
          </cell>
        </row>
        <row r="3">
          <cell r="C3">
            <v>19090000000</v>
          </cell>
          <cell r="D3">
            <v>0</v>
          </cell>
          <cell r="E3">
            <v>19090000000</v>
          </cell>
          <cell r="G3">
            <v>469975000</v>
          </cell>
        </row>
        <row r="4">
          <cell r="F4">
            <v>9334476000.5</v>
          </cell>
          <cell r="G4">
            <v>22055936849</v>
          </cell>
        </row>
        <row r="5">
          <cell r="C5">
            <v>5000000000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H4">
            <v>42379.22721452</v>
          </cell>
        </row>
        <row r="5">
          <cell r="H5">
            <v>64646.35750625002</v>
          </cell>
        </row>
        <row r="6">
          <cell r="H6">
            <v>17763.400460179997</v>
          </cell>
        </row>
        <row r="7">
          <cell r="H7">
            <v>1861.47655523</v>
          </cell>
        </row>
        <row r="8">
          <cell r="H8">
            <v>1512.8633939999995</v>
          </cell>
        </row>
        <row r="12">
          <cell r="H12">
            <v>0</v>
          </cell>
        </row>
        <row r="16">
          <cell r="H16">
            <v>-323.6</v>
          </cell>
        </row>
        <row r="17">
          <cell r="H17">
            <v>0</v>
          </cell>
        </row>
        <row r="24">
          <cell r="G24">
            <v>-3424.26769668</v>
          </cell>
        </row>
        <row r="25">
          <cell r="H25">
            <v>-130.21905299999983</v>
          </cell>
        </row>
        <row r="26">
          <cell r="H26">
            <v>-176.021</v>
          </cell>
        </row>
        <row r="28">
          <cell r="H28">
            <v>1343.8954836300015</v>
          </cell>
        </row>
        <row r="29">
          <cell r="G29">
            <v>-7858.846929020001</v>
          </cell>
          <cell r="H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37"/>
  <sheetViews>
    <sheetView tabSelected="1" zoomScalePageLayoutView="0" workbookViewId="0" topLeftCell="A55">
      <selection activeCell="A73" sqref="A73:Q138"/>
    </sheetView>
  </sheetViews>
  <sheetFormatPr defaultColWidth="9.140625" defaultRowHeight="12.75"/>
  <cols>
    <col min="1" max="1" width="37.7109375" style="3" customWidth="1"/>
    <col min="2" max="2" width="14.7109375" style="3" customWidth="1"/>
    <col min="3" max="3" width="12.28125" style="3" hidden="1" customWidth="1"/>
    <col min="4" max="4" width="14.8515625" style="3" hidden="1" customWidth="1"/>
    <col min="5" max="5" width="17.00390625" style="3" hidden="1" customWidth="1"/>
    <col min="6" max="6" width="13.421875" style="3" hidden="1" customWidth="1"/>
    <col min="7" max="7" width="14.8515625" style="3" hidden="1" customWidth="1"/>
    <col min="8" max="8" width="12.7109375" style="3" hidden="1" customWidth="1"/>
    <col min="9" max="9" width="14.140625" style="3" hidden="1" customWidth="1"/>
    <col min="10" max="10" width="10.140625" style="3" hidden="1" customWidth="1"/>
    <col min="11" max="11" width="12.57421875" style="3" hidden="1" customWidth="1"/>
    <col min="12" max="12" width="10.7109375" style="3" hidden="1" customWidth="1"/>
    <col min="13" max="13" width="14.28125" style="3" hidden="1" customWidth="1"/>
    <col min="14" max="14" width="21.7109375" style="3" hidden="1" customWidth="1"/>
    <col min="15" max="15" width="12.421875" style="3" customWidth="1"/>
    <col min="16" max="16" width="9.140625" style="3" customWidth="1"/>
    <col min="17" max="17" width="14.00390625" style="3" bestFit="1" customWidth="1"/>
    <col min="18" max="16384" width="9.140625" style="3" customWidth="1"/>
  </cols>
  <sheetData>
    <row r="1" ht="16.5" customHeight="1">
      <c r="A1" s="2" t="s">
        <v>47</v>
      </c>
    </row>
    <row r="2" ht="9" customHeight="1"/>
    <row r="3" spans="1:3" ht="60" customHeight="1">
      <c r="A3" s="129" t="s">
        <v>114</v>
      </c>
      <c r="B3" s="130"/>
      <c r="C3" s="130"/>
    </row>
    <row r="4" spans="1:3" ht="12">
      <c r="A4" s="4"/>
      <c r="B4" s="5"/>
      <c r="C4" s="5"/>
    </row>
    <row r="5" spans="1:3" ht="15.75" customHeight="1">
      <c r="A5" s="125" t="s">
        <v>50</v>
      </c>
      <c r="B5" s="125"/>
      <c r="C5" s="125"/>
    </row>
    <row r="6" spans="1:2" ht="15.75" customHeight="1">
      <c r="A6" s="126" t="s">
        <v>109</v>
      </c>
      <c r="B6" s="126"/>
    </row>
    <row r="7" ht="15" customHeight="1">
      <c r="A7" s="6"/>
    </row>
    <row r="8" spans="1:17" ht="56.25" customHeight="1">
      <c r="A8" s="7"/>
      <c r="B8" s="8" t="s">
        <v>48</v>
      </c>
      <c r="C8" s="8" t="s">
        <v>72</v>
      </c>
      <c r="D8" s="8" t="s">
        <v>72</v>
      </c>
      <c r="E8" s="112" t="s">
        <v>72</v>
      </c>
      <c r="F8" s="113"/>
      <c r="G8" s="131" t="s">
        <v>72</v>
      </c>
      <c r="H8" s="132"/>
      <c r="I8" s="132"/>
      <c r="J8" s="132"/>
      <c r="K8" s="133"/>
      <c r="L8" s="113"/>
      <c r="M8" s="113" t="s">
        <v>72</v>
      </c>
      <c r="N8" s="113"/>
      <c r="O8" s="134" t="s">
        <v>72</v>
      </c>
      <c r="P8" s="134"/>
      <c r="Q8" s="128"/>
    </row>
    <row r="9" spans="1:17" ht="51" customHeight="1">
      <c r="A9" s="9"/>
      <c r="B9" s="10" t="s">
        <v>69</v>
      </c>
      <c r="C9" s="11">
        <v>42736</v>
      </c>
      <c r="D9" s="11">
        <v>42767</v>
      </c>
      <c r="E9" s="11" t="s">
        <v>73</v>
      </c>
      <c r="F9" s="11">
        <v>42795</v>
      </c>
      <c r="G9" s="11" t="s">
        <v>74</v>
      </c>
      <c r="H9" s="104">
        <v>42826</v>
      </c>
      <c r="I9" s="11" t="s">
        <v>96</v>
      </c>
      <c r="J9" s="104">
        <v>42856</v>
      </c>
      <c r="K9" s="11" t="s">
        <v>99</v>
      </c>
      <c r="L9" s="104">
        <v>42887</v>
      </c>
      <c r="M9" s="11" t="s">
        <v>104</v>
      </c>
      <c r="N9" s="104">
        <v>42917</v>
      </c>
      <c r="O9" s="110" t="s">
        <v>105</v>
      </c>
      <c r="P9" s="109">
        <v>42948</v>
      </c>
      <c r="Q9" s="110" t="s">
        <v>110</v>
      </c>
    </row>
    <row r="10" spans="1:17" s="6" customFormat="1" ht="15.75" customHeight="1">
      <c r="A10" s="12"/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14" t="s">
        <v>0</v>
      </c>
      <c r="P10" s="13" t="s">
        <v>0</v>
      </c>
      <c r="Q10" s="111" t="s">
        <v>0</v>
      </c>
    </row>
    <row r="11" spans="1:17" ht="15.75" customHeight="1">
      <c r="A11" s="14"/>
      <c r="B11" s="15"/>
      <c r="C11" s="15"/>
      <c r="D11" s="12"/>
      <c r="E11" s="16"/>
      <c r="F11" s="12"/>
      <c r="G11" s="16"/>
      <c r="H11" s="12"/>
      <c r="I11" s="16"/>
      <c r="J11" s="12"/>
      <c r="K11" s="16"/>
      <c r="L11" s="12"/>
      <c r="M11" s="12"/>
      <c r="N11" s="12"/>
      <c r="O11" s="12"/>
      <c r="P11" s="12"/>
      <c r="Q11" s="12"/>
    </row>
    <row r="12" spans="1:17" ht="15.75" customHeight="1">
      <c r="A12" s="12"/>
      <c r="B12" s="15"/>
      <c r="C12" s="15"/>
      <c r="D12" s="12"/>
      <c r="E12" s="16"/>
      <c r="F12" s="12"/>
      <c r="G12" s="16"/>
      <c r="H12" s="12"/>
      <c r="I12" s="16"/>
      <c r="J12" s="12"/>
      <c r="K12" s="16"/>
      <c r="L12" s="12"/>
      <c r="M12" s="12"/>
      <c r="N12" s="12"/>
      <c r="O12" s="12"/>
      <c r="P12" s="12"/>
      <c r="Q12" s="12"/>
    </row>
    <row r="13" spans="1:17" ht="15.75" customHeight="1">
      <c r="A13" s="14" t="s">
        <v>1</v>
      </c>
      <c r="B13" s="12"/>
      <c r="C13" s="12"/>
      <c r="D13" s="12"/>
      <c r="E13" s="16"/>
      <c r="F13" s="12"/>
      <c r="G13" s="16"/>
      <c r="H13" s="103"/>
      <c r="I13" s="16"/>
      <c r="J13" s="12"/>
      <c r="K13" s="16"/>
      <c r="L13" s="12"/>
      <c r="M13" s="12"/>
      <c r="N13" s="12"/>
      <c r="O13" s="12"/>
      <c r="P13" s="12"/>
      <c r="Q13" s="12"/>
    </row>
    <row r="14" spans="1:17" ht="15.75" customHeight="1">
      <c r="A14" s="121" t="s">
        <v>2</v>
      </c>
      <c r="B14" s="18">
        <v>1261266</v>
      </c>
      <c r="C14" s="21">
        <f>'[5]Sheet1'!$B$3</f>
        <v>77889.35323408003</v>
      </c>
      <c r="D14" s="19">
        <f>'[5]Sheet1'!$C$3</f>
        <v>85636.97829807001</v>
      </c>
      <c r="E14" s="20">
        <f>C14+D14</f>
        <v>163526.33153215004</v>
      </c>
      <c r="F14" s="19">
        <f>'[7]Sheet1'!$D$3</f>
        <v>107305.66216584003</v>
      </c>
      <c r="G14" s="20">
        <f>E14+F14</f>
        <v>270831.9936979901</v>
      </c>
      <c r="H14" s="20">
        <f>'[7]Sheet1'!$F$3</f>
        <v>72458.89671985999</v>
      </c>
      <c r="I14" s="20">
        <f>G14+H14</f>
        <v>343290.89041785005</v>
      </c>
      <c r="J14" s="19">
        <f>'[11]Sheet1'!$G$3</f>
        <v>95905.03321664</v>
      </c>
      <c r="K14" s="20">
        <f>J14+I14</f>
        <v>439195.92363449006</v>
      </c>
      <c r="L14" s="19">
        <f>'[11]Sheet1'!$H$3</f>
        <v>128547.33019367</v>
      </c>
      <c r="M14" s="60">
        <f>K14+L14</f>
        <v>567743.25382816</v>
      </c>
      <c r="N14" s="19">
        <f>'[12]Sheet1'!$C$3</f>
        <v>89189.23189383</v>
      </c>
      <c r="O14" s="60">
        <f>M14+N14</f>
        <v>656932.48572199</v>
      </c>
      <c r="P14" s="19">
        <f>'[15]Sheet1'!$D$3</f>
        <v>76347.46982142</v>
      </c>
      <c r="Q14" s="60">
        <f>O14+P14</f>
        <v>733279.95554341</v>
      </c>
    </row>
    <row r="15" spans="1:17" ht="15.75" customHeight="1">
      <c r="A15" s="17" t="s">
        <v>3</v>
      </c>
      <c r="B15" s="18">
        <v>1036855</v>
      </c>
      <c r="C15" s="18">
        <f>'[3]Sheet1'!$B$4</f>
        <v>45440.43432341999</v>
      </c>
      <c r="D15" s="19">
        <f>'[4]Sheet1'!$C$4</f>
        <v>41020.37806496999</v>
      </c>
      <c r="E15" s="20">
        <f aca="true" t="shared" si="0" ref="E15:E21">C15+D15</f>
        <v>86460.81238838998</v>
      </c>
      <c r="F15" s="19">
        <f>'[6]Sheet1'!$D$4</f>
        <v>45094.73970988</v>
      </c>
      <c r="G15" s="20">
        <f aca="true" t="shared" si="1" ref="G15:G21">E15+F15</f>
        <v>131555.55209826998</v>
      </c>
      <c r="H15" s="20">
        <f>'[7]Sheet1'!$F$4</f>
        <v>40026.4282627</v>
      </c>
      <c r="I15" s="20">
        <f aca="true" t="shared" si="2" ref="I15:I20">G15+H15</f>
        <v>171581.98036097</v>
      </c>
      <c r="J15" s="19">
        <f>'[7]Sheet1'!$G$4</f>
        <v>45328.228164780005</v>
      </c>
      <c r="K15" s="20">
        <f aca="true" t="shared" si="3" ref="K15:M20">J15+I15</f>
        <v>216910.20852575</v>
      </c>
      <c r="L15" s="19">
        <f>'[9]Sheet1'!$H$4</f>
        <v>42379.22721452</v>
      </c>
      <c r="M15" s="60">
        <f>K15+L15</f>
        <v>259289.43574027</v>
      </c>
      <c r="N15" s="19">
        <f>'[12]Sheet1'!$C$4</f>
        <v>38379.136290669994</v>
      </c>
      <c r="O15" s="60">
        <f aca="true" t="shared" si="4" ref="O15:O21">M15+N15</f>
        <v>297668.57203094</v>
      </c>
      <c r="P15" s="19">
        <f>'[15]Sheet1'!$D$4</f>
        <v>37438.32871683</v>
      </c>
      <c r="Q15" s="60">
        <f aca="true" t="shared" si="5" ref="Q15:Q21">O15+P15</f>
        <v>335106.90074777</v>
      </c>
    </row>
    <row r="16" spans="1:17" ht="15.75" customHeight="1">
      <c r="A16" s="17" t="s">
        <v>64</v>
      </c>
      <c r="B16" s="18">
        <v>829213</v>
      </c>
      <c r="C16" s="18">
        <f>'[3]Sheet1'!$B$5</f>
        <v>50484.11117113999</v>
      </c>
      <c r="D16" s="19">
        <f>'[4]Sheet1'!$C$5</f>
        <v>61868.90742561</v>
      </c>
      <c r="E16" s="20">
        <f t="shared" si="0"/>
        <v>112353.01859674999</v>
      </c>
      <c r="F16" s="19">
        <f>'[6]Sheet1'!$D$5</f>
        <v>65502.063773149996</v>
      </c>
      <c r="G16" s="20">
        <f t="shared" si="1"/>
        <v>177855.0823699</v>
      </c>
      <c r="H16" s="19">
        <f>'[7]Sheet1'!$F$5</f>
        <v>53369.30978571</v>
      </c>
      <c r="I16" s="20">
        <f t="shared" si="2"/>
        <v>231224.39215561</v>
      </c>
      <c r="J16" s="19">
        <f>'[7]Sheet1'!$G$5</f>
        <v>61839.00880355001</v>
      </c>
      <c r="K16" s="20">
        <f t="shared" si="3"/>
        <v>293063.40095916</v>
      </c>
      <c r="L16" s="19">
        <f>'[9]Sheet1'!$H$5</f>
        <v>64646.35750625002</v>
      </c>
      <c r="M16" s="60">
        <f>K16+L16</f>
        <v>357709.75846541004</v>
      </c>
      <c r="N16" s="19">
        <f>'[12]Sheet1'!$C$5</f>
        <v>58478.889716109996</v>
      </c>
      <c r="O16" s="60">
        <f t="shared" si="4"/>
        <v>416188.64818152005</v>
      </c>
      <c r="P16" s="19">
        <f>'[15]Sheet1'!$D$5</f>
        <v>50256.21546216</v>
      </c>
      <c r="Q16" s="60">
        <f t="shared" si="5"/>
        <v>466444.86364368006</v>
      </c>
    </row>
    <row r="17" spans="1:17" ht="15.75" customHeight="1">
      <c r="A17" s="17" t="s">
        <v>4</v>
      </c>
      <c r="B17" s="18">
        <v>167567</v>
      </c>
      <c r="C17" s="18">
        <f>'[3]Sheet1'!$B$6</f>
        <v>13926.623663559996</v>
      </c>
      <c r="D17" s="19">
        <f>'[4]Sheet1'!$C$6</f>
        <v>10230.67289491</v>
      </c>
      <c r="E17" s="20">
        <f t="shared" si="0"/>
        <v>24157.296558469996</v>
      </c>
      <c r="F17" s="19">
        <f>'[6]Sheet1'!$D$6</f>
        <v>6761.3978425000005</v>
      </c>
      <c r="G17" s="20">
        <f t="shared" si="1"/>
        <v>30918.694400969995</v>
      </c>
      <c r="H17" s="19">
        <f>'[7]Sheet1'!$F$6</f>
        <v>9297.32243411</v>
      </c>
      <c r="I17" s="20">
        <f t="shared" si="2"/>
        <v>40216.016835079994</v>
      </c>
      <c r="J17" s="19">
        <f>'[7]Sheet1'!$G$6</f>
        <v>22737.031449340004</v>
      </c>
      <c r="K17" s="20">
        <f t="shared" si="3"/>
        <v>62953.04828442</v>
      </c>
      <c r="L17" s="19">
        <f>'[9]Sheet1'!$H$6</f>
        <v>17763.400460179997</v>
      </c>
      <c r="M17" s="20">
        <f t="shared" si="3"/>
        <v>80716.4487446</v>
      </c>
      <c r="N17" s="19">
        <f>'[12]Sheet1'!$C$6</f>
        <v>11466.758020090003</v>
      </c>
      <c r="O17" s="60">
        <f t="shared" si="4"/>
        <v>92183.20676469</v>
      </c>
      <c r="P17" s="19">
        <f>'[15]Sheet1'!$D$6</f>
        <v>9241.127960600003</v>
      </c>
      <c r="Q17" s="60">
        <f t="shared" si="5"/>
        <v>101424.33472529</v>
      </c>
    </row>
    <row r="18" spans="1:17" ht="15.75" customHeight="1">
      <c r="A18" s="17" t="s">
        <v>5</v>
      </c>
      <c r="B18" s="18"/>
      <c r="C18" s="18">
        <f>'[3]Sheet1'!$B$7</f>
        <v>4562.152893110002</v>
      </c>
      <c r="D18" s="19">
        <f>'[4]Sheet1'!$C$7</f>
        <v>10164.067368879998</v>
      </c>
      <c r="E18" s="20">
        <f t="shared" si="0"/>
        <v>14726.22026199</v>
      </c>
      <c r="F18" s="19">
        <f>'[6]Sheet1'!$D$7</f>
        <v>8697.241678</v>
      </c>
      <c r="G18" s="20">
        <f t="shared" si="1"/>
        <v>23423.46193999</v>
      </c>
      <c r="H18" s="19">
        <f>'[7]Sheet1'!$F$7</f>
        <v>10808.9140295</v>
      </c>
      <c r="I18" s="20">
        <f t="shared" si="2"/>
        <v>34232.37596949</v>
      </c>
      <c r="J18" s="19">
        <f>'[7]Sheet1'!$G$7</f>
        <v>9220.292444810002</v>
      </c>
      <c r="K18" s="20">
        <f t="shared" si="3"/>
        <v>43452.6684143</v>
      </c>
      <c r="L18" s="19">
        <f>'[9]Sheet1'!$H$7</f>
        <v>1861.47655523</v>
      </c>
      <c r="M18" s="20">
        <f t="shared" si="3"/>
        <v>45314.14496953</v>
      </c>
      <c r="N18" s="19">
        <f>'[12]Sheet1'!$C$7</f>
        <v>1854.46481063</v>
      </c>
      <c r="O18" s="60">
        <f t="shared" si="4"/>
        <v>47168.609780160004</v>
      </c>
      <c r="P18" s="19">
        <f>'[15]Sheet1'!$D$7</f>
        <v>5279.713660749999</v>
      </c>
      <c r="Q18" s="60">
        <f t="shared" si="5"/>
        <v>52448.323440910004</v>
      </c>
    </row>
    <row r="19" spans="1:17" ht="15.75" customHeight="1">
      <c r="A19" s="17" t="s">
        <v>6</v>
      </c>
      <c r="B19" s="18">
        <v>173096</v>
      </c>
      <c r="C19" s="21">
        <f>'[14]Sheet1'!$B$8</f>
        <v>1489.4848427499994</v>
      </c>
      <c r="D19" s="19">
        <f>'[14]Sheet1'!$C$8</f>
        <v>6727.097143999998</v>
      </c>
      <c r="E19" s="20">
        <f t="shared" si="0"/>
        <v>8216.581986749998</v>
      </c>
      <c r="F19" s="19">
        <f>'[14]Sheet1'!$D$8</f>
        <v>32398.946155950005</v>
      </c>
      <c r="G19" s="20">
        <f t="shared" si="1"/>
        <v>40615.5281427</v>
      </c>
      <c r="H19" s="19">
        <f>'[14]Sheet1'!$F$8</f>
        <v>6635.437068830001</v>
      </c>
      <c r="I19" s="20">
        <f t="shared" si="2"/>
        <v>47250.965211530005</v>
      </c>
      <c r="J19" s="19">
        <f>'[14]Sheet1'!$G$8</f>
        <v>2736.1196409499994</v>
      </c>
      <c r="K19" s="20">
        <f t="shared" si="3"/>
        <v>49987.08485248</v>
      </c>
      <c r="L19" s="19">
        <f>'[9]Sheet1'!$H$8</f>
        <v>1512.8633939999995</v>
      </c>
      <c r="M19" s="20">
        <f t="shared" si="3"/>
        <v>51499.94824648</v>
      </c>
      <c r="N19" s="19">
        <f>'[12]Sheet1'!$C$8</f>
        <v>8128.68793149</v>
      </c>
      <c r="O19" s="60">
        <f t="shared" si="4"/>
        <v>59628.63617797</v>
      </c>
      <c r="P19" s="19">
        <f>'[15]Sheet1'!$D$8</f>
        <v>13969.903485550003</v>
      </c>
      <c r="Q19" s="60">
        <f t="shared" si="5"/>
        <v>73598.53966352</v>
      </c>
    </row>
    <row r="20" spans="1:17" ht="15.75" customHeight="1">
      <c r="A20" s="120" t="s">
        <v>116</v>
      </c>
      <c r="B20" s="18">
        <v>128101</v>
      </c>
      <c r="C20" s="18">
        <f>'[5]Sheet1'!$B$9</f>
        <v>23514.3338777</v>
      </c>
      <c r="D20" s="19">
        <f>'[5]Sheet1'!$C$9</f>
        <v>20440.585177260004</v>
      </c>
      <c r="E20" s="20">
        <f t="shared" si="0"/>
        <v>43954.91905496</v>
      </c>
      <c r="F20" s="20">
        <f>0</f>
        <v>0</v>
      </c>
      <c r="G20" s="20">
        <f>E20+F20</f>
        <v>43954.91905496</v>
      </c>
      <c r="H20" s="20">
        <f>0</f>
        <v>0</v>
      </c>
      <c r="I20" s="20">
        <f t="shared" si="2"/>
        <v>43954.91905496</v>
      </c>
      <c r="J20" s="20">
        <f>0</f>
        <v>0</v>
      </c>
      <c r="K20" s="20">
        <f t="shared" si="3"/>
        <v>43954.91905496</v>
      </c>
      <c r="L20" s="20">
        <f>0</f>
        <v>0</v>
      </c>
      <c r="M20" s="20">
        <f>L20+K20</f>
        <v>43954.91905496</v>
      </c>
      <c r="N20" s="19">
        <f>'[15]Sheet1'!$C$9</f>
        <v>24031.22800162</v>
      </c>
      <c r="O20" s="60">
        <f t="shared" si="4"/>
        <v>67986.14705658</v>
      </c>
      <c r="P20" s="19">
        <f>'[15]Sheet1'!$D$9</f>
        <v>19100.85926553</v>
      </c>
      <c r="Q20" s="60">
        <f t="shared" si="5"/>
        <v>87087.00632211</v>
      </c>
    </row>
    <row r="21" spans="1:18" ht="15.75" customHeight="1">
      <c r="A21" s="119" t="s">
        <v>117</v>
      </c>
      <c r="B21" s="23"/>
      <c r="C21" s="23">
        <f>9310</f>
        <v>9310</v>
      </c>
      <c r="D21" s="24">
        <f>9994</f>
        <v>9994</v>
      </c>
      <c r="E21" s="20">
        <f t="shared" si="0"/>
        <v>19304</v>
      </c>
      <c r="F21" s="24">
        <f>15177</f>
        <v>15177</v>
      </c>
      <c r="G21" s="20">
        <f t="shared" si="1"/>
        <v>34481</v>
      </c>
      <c r="H21" s="24">
        <f>27408</f>
        <v>27408</v>
      </c>
      <c r="I21" s="20">
        <f>G21+H21</f>
        <v>61889</v>
      </c>
      <c r="J21" s="24">
        <f>22946</f>
        <v>22946</v>
      </c>
      <c r="K21" s="20">
        <f>J21+I21</f>
        <v>84835</v>
      </c>
      <c r="L21" s="24">
        <f>25663</f>
        <v>25663</v>
      </c>
      <c r="M21" s="20">
        <f>L21+K21</f>
        <v>110498</v>
      </c>
      <c r="N21" s="24">
        <f>50017</f>
        <v>50017</v>
      </c>
      <c r="O21" s="60">
        <f t="shared" si="4"/>
        <v>160515</v>
      </c>
      <c r="P21" s="24">
        <f>3082</f>
        <v>3082</v>
      </c>
      <c r="Q21" s="60">
        <f t="shared" si="5"/>
        <v>163597</v>
      </c>
      <c r="R21" s="3" t="s">
        <v>115</v>
      </c>
    </row>
    <row r="22" spans="1:17" ht="15.75" customHeight="1">
      <c r="A22" s="25" t="s">
        <v>8</v>
      </c>
      <c r="B22" s="26">
        <f>SUM(B14:B21)</f>
        <v>3596098</v>
      </c>
      <c r="C22" s="26">
        <f>SUM(C14:C21)</f>
        <v>226616.49400576003</v>
      </c>
      <c r="D22" s="26">
        <f>SUM(D14:D21)</f>
        <v>246082.6863737</v>
      </c>
      <c r="E22" s="26">
        <f aca="true" t="shared" si="6" ref="E22:Q22">SUM(E14:E21)</f>
        <v>472699.18037946</v>
      </c>
      <c r="F22" s="26">
        <f>SUM(F14:F21)</f>
        <v>280937.05132532003</v>
      </c>
      <c r="G22" s="26">
        <f t="shared" si="6"/>
        <v>753636.2317047801</v>
      </c>
      <c r="H22" s="26">
        <f>SUM(H14:H21)</f>
        <v>220004.30830071002</v>
      </c>
      <c r="I22" s="26">
        <f>SUM(I14:I21)</f>
        <v>973640.5400054901</v>
      </c>
      <c r="J22" s="26">
        <f t="shared" si="6"/>
        <v>260711.71372007002</v>
      </c>
      <c r="K22" s="26">
        <f t="shared" si="6"/>
        <v>1234352.2537255601</v>
      </c>
      <c r="L22" s="26">
        <f t="shared" si="6"/>
        <v>282373.65532385</v>
      </c>
      <c r="M22" s="26">
        <f t="shared" si="6"/>
        <v>1516725.9090494097</v>
      </c>
      <c r="N22" s="26">
        <f>SUM(N14:N21)</f>
        <v>281545.39666443993</v>
      </c>
      <c r="O22" s="26">
        <f t="shared" si="6"/>
        <v>1798271.3057138503</v>
      </c>
      <c r="P22" s="26">
        <f t="shared" si="6"/>
        <v>214715.61837284</v>
      </c>
      <c r="Q22" s="26">
        <f t="shared" si="6"/>
        <v>2012986.9240866902</v>
      </c>
    </row>
    <row r="23" spans="1:17" ht="15.75" customHeight="1">
      <c r="A23" s="7"/>
      <c r="B23" s="27"/>
      <c r="C23" s="28"/>
      <c r="D23" s="7"/>
      <c r="E23" s="16"/>
      <c r="F23" s="7"/>
      <c r="G23" s="51"/>
      <c r="H23" s="7"/>
      <c r="I23" s="51"/>
      <c r="J23" s="7"/>
      <c r="K23" s="51"/>
      <c r="L23" s="12"/>
      <c r="M23" s="7"/>
      <c r="N23" s="7"/>
      <c r="O23" s="7"/>
      <c r="P23" s="7"/>
      <c r="Q23" s="7"/>
    </row>
    <row r="24" spans="1:17" ht="15.75" customHeight="1">
      <c r="A24" s="29" t="s">
        <v>9</v>
      </c>
      <c r="B24" s="28"/>
      <c r="C24" s="28"/>
      <c r="D24" s="12"/>
      <c r="E24" s="16"/>
      <c r="F24" s="12"/>
      <c r="G24" s="16"/>
      <c r="H24" s="12"/>
      <c r="I24" s="16"/>
      <c r="J24" s="12"/>
      <c r="K24" s="16"/>
      <c r="L24" s="12"/>
      <c r="M24" s="12"/>
      <c r="N24" s="12"/>
      <c r="O24" s="12"/>
      <c r="P24" s="12"/>
      <c r="Q24" s="12"/>
    </row>
    <row r="25" spans="1:17" ht="15.75" customHeight="1">
      <c r="A25" s="30" t="s">
        <v>10</v>
      </c>
      <c r="B25" s="18">
        <v>0</v>
      </c>
      <c r="C25" s="18">
        <f>'[7]Sheet1'!$B$12</f>
        <v>1339.7008799999999</v>
      </c>
      <c r="D25" s="19">
        <f>-'[4]Sheet1'!$D$12</f>
        <v>896.29499968</v>
      </c>
      <c r="E25" s="20">
        <f aca="true" t="shared" si="7" ref="E25:E31">C25+D25</f>
        <v>2235.99587968</v>
      </c>
      <c r="F25" s="19">
        <f>'[7]Sheet1'!$D$12</f>
        <v>1227.53012815</v>
      </c>
      <c r="G25" s="20">
        <f>E25+F25</f>
        <v>3463.5260078300003</v>
      </c>
      <c r="H25" s="19">
        <f>'[7]Sheet1'!$F$12</f>
        <v>2117.6440284</v>
      </c>
      <c r="I25" s="20">
        <f>G25+H25</f>
        <v>5581.17003623</v>
      </c>
      <c r="J25" s="20">
        <f>'[7]Sheet1'!$G$12</f>
        <v>0</v>
      </c>
      <c r="K25" s="20">
        <f>J25+I25</f>
        <v>5581.17003623</v>
      </c>
      <c r="L25" s="20">
        <f>'[11]Sheet1'!$H$12</f>
        <v>334.45460048</v>
      </c>
      <c r="M25" s="20">
        <f aca="true" t="shared" si="8" ref="M25:M31">L25+K25</f>
        <v>5915.62463671</v>
      </c>
      <c r="N25" s="19">
        <f>'[12]Sheet1'!$C$12</f>
        <v>1383.1425</v>
      </c>
      <c r="O25" s="20">
        <f aca="true" t="shared" si="9" ref="O25:O31">N25+M25</f>
        <v>7298.76713671</v>
      </c>
      <c r="P25" s="19">
        <f>'[15]Sheet1'!$D$12</f>
        <v>2241.23425735</v>
      </c>
      <c r="Q25" s="20">
        <f>P25+O25</f>
        <v>9540.00139406</v>
      </c>
    </row>
    <row r="26" spans="1:17" ht="15.75" customHeight="1">
      <c r="A26" s="30" t="s">
        <v>67</v>
      </c>
      <c r="B26" s="18">
        <v>0</v>
      </c>
      <c r="C26" s="18">
        <v>0</v>
      </c>
      <c r="D26" s="18">
        <v>0</v>
      </c>
      <c r="E26" s="20">
        <f t="shared" si="7"/>
        <v>0</v>
      </c>
      <c r="F26" s="18">
        <v>0</v>
      </c>
      <c r="G26" s="20">
        <f aca="true" t="shared" si="10" ref="G26:G31">E26+F26</f>
        <v>0</v>
      </c>
      <c r="H26" s="20">
        <v>0</v>
      </c>
      <c r="I26" s="20">
        <f aca="true" t="shared" si="11" ref="I26:I31">G26+H26</f>
        <v>0</v>
      </c>
      <c r="J26" s="20">
        <f>'[7]Sheet1'!$G$12</f>
        <v>0</v>
      </c>
      <c r="K26" s="20">
        <f aca="true" t="shared" si="12" ref="K26:K31">J26+I26</f>
        <v>0</v>
      </c>
      <c r="L26" s="20">
        <f>'[9]Sheet1'!$H$12</f>
        <v>0</v>
      </c>
      <c r="M26" s="20">
        <f t="shared" si="8"/>
        <v>0</v>
      </c>
      <c r="N26" s="12"/>
      <c r="O26" s="20">
        <f t="shared" si="9"/>
        <v>0</v>
      </c>
      <c r="P26" s="20">
        <v>0</v>
      </c>
      <c r="Q26" s="20">
        <f aca="true" t="shared" si="13" ref="Q26:Q31">P26+O26</f>
        <v>0</v>
      </c>
    </row>
    <row r="27" spans="1:17" ht="12">
      <c r="A27" s="30" t="s">
        <v>51</v>
      </c>
      <c r="B27" s="18">
        <v>464400</v>
      </c>
      <c r="C27" s="18">
        <v>0</v>
      </c>
      <c r="D27" s="18">
        <v>0</v>
      </c>
      <c r="E27" s="20">
        <f t="shared" si="7"/>
        <v>0</v>
      </c>
      <c r="F27" s="18">
        <v>0</v>
      </c>
      <c r="G27" s="20">
        <f t="shared" si="10"/>
        <v>0</v>
      </c>
      <c r="H27" s="20">
        <v>0</v>
      </c>
      <c r="I27" s="20">
        <f t="shared" si="11"/>
        <v>0</v>
      </c>
      <c r="J27" s="20">
        <f>'[7]Sheet1'!$G$12</f>
        <v>0</v>
      </c>
      <c r="K27" s="20">
        <f t="shared" si="12"/>
        <v>0</v>
      </c>
      <c r="L27" s="20">
        <f>'[11]Sheet1'!$H$13</f>
        <v>228131.55000000002</v>
      </c>
      <c r="M27" s="20">
        <f t="shared" si="8"/>
        <v>228131.55000000002</v>
      </c>
      <c r="N27" s="19">
        <f>'[12]Sheet1'!$C$13</f>
        <v>227172.61721712005</v>
      </c>
      <c r="O27" s="20">
        <f t="shared" si="9"/>
        <v>455304.16721712006</v>
      </c>
      <c r="P27" s="20">
        <v>0</v>
      </c>
      <c r="Q27" s="20">
        <f t="shared" si="13"/>
        <v>455304.16721712006</v>
      </c>
    </row>
    <row r="28" spans="1:17" ht="12">
      <c r="A28" s="30" t="s">
        <v>71</v>
      </c>
      <c r="B28" s="18">
        <v>380000</v>
      </c>
      <c r="C28" s="18">
        <v>0</v>
      </c>
      <c r="D28" s="18">
        <v>0</v>
      </c>
      <c r="E28" s="20">
        <f t="shared" si="7"/>
        <v>0</v>
      </c>
      <c r="F28" s="18">
        <v>0</v>
      </c>
      <c r="G28" s="20">
        <f t="shared" si="10"/>
        <v>0</v>
      </c>
      <c r="H28" s="20">
        <v>0</v>
      </c>
      <c r="I28" s="20">
        <f t="shared" si="11"/>
        <v>0</v>
      </c>
      <c r="J28" s="20">
        <f>'[7]Sheet1'!$G$12</f>
        <v>0</v>
      </c>
      <c r="K28" s="20">
        <f t="shared" si="12"/>
        <v>0</v>
      </c>
      <c r="L28" s="20">
        <f>'[9]Sheet1'!$H$12</f>
        <v>0</v>
      </c>
      <c r="M28" s="20">
        <f t="shared" si="8"/>
        <v>0</v>
      </c>
      <c r="N28" s="12"/>
      <c r="O28" s="20">
        <f t="shared" si="9"/>
        <v>0</v>
      </c>
      <c r="P28" s="20">
        <v>0</v>
      </c>
      <c r="Q28" s="20">
        <f t="shared" si="13"/>
        <v>0</v>
      </c>
    </row>
    <row r="29" spans="1:17" ht="12">
      <c r="A29" s="30" t="s">
        <v>70</v>
      </c>
      <c r="B29" s="18">
        <v>112500</v>
      </c>
      <c r="C29" s="18"/>
      <c r="D29" s="18">
        <v>0</v>
      </c>
      <c r="E29" s="20">
        <f t="shared" si="7"/>
        <v>0</v>
      </c>
      <c r="F29" s="18">
        <v>0</v>
      </c>
      <c r="G29" s="20">
        <f t="shared" si="10"/>
        <v>0</v>
      </c>
      <c r="H29" s="20">
        <v>0</v>
      </c>
      <c r="I29" s="20">
        <f t="shared" si="11"/>
        <v>0</v>
      </c>
      <c r="J29" s="20">
        <f>'[7]Sheet1'!$G$12</f>
        <v>0</v>
      </c>
      <c r="K29" s="20">
        <f t="shared" si="12"/>
        <v>0</v>
      </c>
      <c r="L29" s="20">
        <f>'[9]Sheet1'!$H$12</f>
        <v>0</v>
      </c>
      <c r="M29" s="20">
        <f t="shared" si="8"/>
        <v>0</v>
      </c>
      <c r="N29" s="12"/>
      <c r="O29" s="20">
        <f t="shared" si="9"/>
        <v>0</v>
      </c>
      <c r="P29" s="20">
        <v>0</v>
      </c>
      <c r="Q29" s="20">
        <f t="shared" si="13"/>
        <v>0</v>
      </c>
    </row>
    <row r="30" spans="1:17" ht="12">
      <c r="A30" s="30" t="s">
        <v>52</v>
      </c>
      <c r="B30" s="18">
        <v>0</v>
      </c>
      <c r="C30" s="18">
        <v>0</v>
      </c>
      <c r="D30" s="18">
        <v>0</v>
      </c>
      <c r="E30" s="20">
        <f t="shared" si="7"/>
        <v>0</v>
      </c>
      <c r="F30" s="18">
        <v>0</v>
      </c>
      <c r="G30" s="20">
        <f t="shared" si="10"/>
        <v>0</v>
      </c>
      <c r="H30" s="20">
        <v>0</v>
      </c>
      <c r="I30" s="20">
        <f t="shared" si="11"/>
        <v>0</v>
      </c>
      <c r="J30" s="20">
        <f>'[7]Sheet1'!$G$12</f>
        <v>0</v>
      </c>
      <c r="K30" s="20">
        <f t="shared" si="12"/>
        <v>0</v>
      </c>
      <c r="L30" s="20">
        <f>'[9]Sheet1'!$H$12</f>
        <v>0</v>
      </c>
      <c r="M30" s="20">
        <f t="shared" si="8"/>
        <v>0</v>
      </c>
      <c r="N30" s="12"/>
      <c r="O30" s="20">
        <f t="shared" si="9"/>
        <v>0</v>
      </c>
      <c r="P30" s="20">
        <v>0</v>
      </c>
      <c r="Q30" s="20">
        <f t="shared" si="13"/>
        <v>0</v>
      </c>
    </row>
    <row r="31" spans="1:17" ht="15.75" customHeight="1">
      <c r="A31" s="31" t="s">
        <v>61</v>
      </c>
      <c r="B31" s="23">
        <v>0</v>
      </c>
      <c r="C31" s="23">
        <v>0</v>
      </c>
      <c r="D31" s="18">
        <v>0</v>
      </c>
      <c r="E31" s="20">
        <f t="shared" si="7"/>
        <v>0</v>
      </c>
      <c r="F31" s="18">
        <v>0</v>
      </c>
      <c r="G31" s="20">
        <f t="shared" si="10"/>
        <v>0</v>
      </c>
      <c r="H31" s="20">
        <v>0</v>
      </c>
      <c r="I31" s="20">
        <f t="shared" si="11"/>
        <v>0</v>
      </c>
      <c r="J31" s="20">
        <f>'[7]Sheet1'!$G$12</f>
        <v>0</v>
      </c>
      <c r="K31" s="20">
        <f t="shared" si="12"/>
        <v>0</v>
      </c>
      <c r="L31" s="20">
        <f>'[9]Sheet1'!$H$12</f>
        <v>0</v>
      </c>
      <c r="M31" s="20">
        <f t="shared" si="8"/>
        <v>0</v>
      </c>
      <c r="N31" s="9"/>
      <c r="O31" s="20">
        <f t="shared" si="9"/>
        <v>0</v>
      </c>
      <c r="P31" s="20">
        <v>0</v>
      </c>
      <c r="Q31" s="20">
        <f t="shared" si="13"/>
        <v>0</v>
      </c>
    </row>
    <row r="32" spans="1:17" ht="15.75" customHeight="1">
      <c r="A32" s="25" t="s">
        <v>11</v>
      </c>
      <c r="B32" s="26">
        <f>SUM(B25:B31)</f>
        <v>956900</v>
      </c>
      <c r="C32" s="26">
        <f>SUM(C25:C30)</f>
        <v>1339.7008799999999</v>
      </c>
      <c r="D32" s="26">
        <f>SUM(D25:D30)</f>
        <v>896.29499968</v>
      </c>
      <c r="E32" s="26">
        <f aca="true" t="shared" si="14" ref="E32:Q32">SUM(E25:E31)</f>
        <v>2235.99587968</v>
      </c>
      <c r="F32" s="26">
        <f t="shared" si="14"/>
        <v>1227.53012815</v>
      </c>
      <c r="G32" s="26">
        <f t="shared" si="14"/>
        <v>3463.5260078300003</v>
      </c>
      <c r="H32" s="26">
        <f t="shared" si="14"/>
        <v>2117.6440284</v>
      </c>
      <c r="I32" s="26">
        <f t="shared" si="14"/>
        <v>5581.17003623</v>
      </c>
      <c r="J32" s="26">
        <f t="shared" si="14"/>
        <v>0</v>
      </c>
      <c r="K32" s="26">
        <f t="shared" si="14"/>
        <v>5581.17003623</v>
      </c>
      <c r="L32" s="26">
        <f t="shared" si="14"/>
        <v>228466.00460048002</v>
      </c>
      <c r="M32" s="26">
        <f t="shared" si="14"/>
        <v>234047.17463671003</v>
      </c>
      <c r="N32" s="26">
        <f>SUM(N25:N31)</f>
        <v>228555.75971712003</v>
      </c>
      <c r="O32" s="26">
        <f t="shared" si="14"/>
        <v>462602.93435383006</v>
      </c>
      <c r="P32" s="26">
        <f>SUM(P25:P31)</f>
        <v>2241.23425735</v>
      </c>
      <c r="Q32" s="26">
        <f t="shared" si="14"/>
        <v>464844.16861118004</v>
      </c>
    </row>
    <row r="33" spans="1:17" ht="15.75" customHeight="1">
      <c r="A33" s="25"/>
      <c r="B33" s="32"/>
      <c r="C33" s="33"/>
      <c r="D33" s="6"/>
      <c r="E33" s="16"/>
      <c r="F33" s="45"/>
      <c r="G33" s="16"/>
      <c r="H33" s="43"/>
      <c r="I33" s="50"/>
      <c r="J33" s="45"/>
      <c r="K33" s="16"/>
      <c r="L33" s="7"/>
      <c r="M33" s="7"/>
      <c r="N33" s="25"/>
      <c r="O33" s="25"/>
      <c r="P33" s="12"/>
      <c r="Q33" s="12"/>
    </row>
    <row r="34" spans="1:17" s="2" customFormat="1" ht="15.75" customHeight="1">
      <c r="A34" s="34" t="s">
        <v>58</v>
      </c>
      <c r="B34" s="26">
        <f aca="true" t="shared" si="15" ref="B34:G34">B22+B32</f>
        <v>4552998</v>
      </c>
      <c r="C34" s="26">
        <f t="shared" si="15"/>
        <v>227956.19488576002</v>
      </c>
      <c r="D34" s="26">
        <f t="shared" si="15"/>
        <v>246978.98137338</v>
      </c>
      <c r="E34" s="26">
        <f t="shared" si="15"/>
        <v>474935.17625913996</v>
      </c>
      <c r="F34" s="26">
        <f t="shared" si="15"/>
        <v>282164.58145347005</v>
      </c>
      <c r="G34" s="26">
        <f t="shared" si="15"/>
        <v>757099.7577126102</v>
      </c>
      <c r="H34" s="26">
        <f aca="true" t="shared" si="16" ref="H34:Q34">H22+H32</f>
        <v>222121.95232911003</v>
      </c>
      <c r="I34" s="26">
        <f t="shared" si="16"/>
        <v>979221.7100417201</v>
      </c>
      <c r="J34" s="26">
        <f t="shared" si="16"/>
        <v>260711.71372007002</v>
      </c>
      <c r="K34" s="26">
        <f t="shared" si="16"/>
        <v>1239933.4237617902</v>
      </c>
      <c r="L34" s="26">
        <f t="shared" si="16"/>
        <v>510839.65992433</v>
      </c>
      <c r="M34" s="26">
        <f t="shared" si="16"/>
        <v>1750773.0836861196</v>
      </c>
      <c r="N34" s="26">
        <f t="shared" si="16"/>
        <v>510101.15638155997</v>
      </c>
      <c r="O34" s="26">
        <f t="shared" si="16"/>
        <v>2260874.2400676804</v>
      </c>
      <c r="P34" s="26">
        <f t="shared" si="16"/>
        <v>216956.85263019</v>
      </c>
      <c r="Q34" s="26">
        <f t="shared" si="16"/>
        <v>2477831.09269787</v>
      </c>
    </row>
    <row r="35" spans="1:5" s="2" customFormat="1" ht="15.75" customHeight="1">
      <c r="A35" s="35"/>
      <c r="B35" s="36"/>
      <c r="C35" s="36"/>
      <c r="D35" s="35"/>
      <c r="E35" s="35"/>
    </row>
    <row r="36" spans="1:5" s="2" customFormat="1" ht="15.75" customHeight="1">
      <c r="A36" s="125" t="s">
        <v>50</v>
      </c>
      <c r="B36" s="125"/>
      <c r="C36" s="125"/>
      <c r="D36" s="35"/>
      <c r="E36" s="35"/>
    </row>
    <row r="37" spans="1:5" s="2" customFormat="1" ht="19.5" customHeight="1">
      <c r="A37" s="126" t="s">
        <v>109</v>
      </c>
      <c r="B37" s="126"/>
      <c r="C37" s="3"/>
      <c r="D37" s="35"/>
      <c r="E37" s="35"/>
    </row>
    <row r="38" spans="1:17" s="2" customFormat="1" ht="69" customHeight="1">
      <c r="A38" s="7"/>
      <c r="B38" s="8" t="s">
        <v>48</v>
      </c>
      <c r="C38" s="122" t="s">
        <v>72</v>
      </c>
      <c r="D38" s="123"/>
      <c r="E38" s="124"/>
      <c r="F38" s="127" t="s">
        <v>72</v>
      </c>
      <c r="G38" s="128"/>
      <c r="H38" s="127" t="s">
        <v>72</v>
      </c>
      <c r="I38" s="128"/>
      <c r="J38" s="127" t="s">
        <v>72</v>
      </c>
      <c r="K38" s="128"/>
      <c r="L38" s="117" t="s">
        <v>72</v>
      </c>
      <c r="M38" s="118"/>
      <c r="N38" s="118"/>
      <c r="O38" s="132" t="s">
        <v>72</v>
      </c>
      <c r="P38" s="132"/>
      <c r="Q38" s="133"/>
    </row>
    <row r="39" spans="1:17" s="2" customFormat="1" ht="27.75" customHeight="1">
      <c r="A39" s="9"/>
      <c r="B39" s="10" t="s">
        <v>69</v>
      </c>
      <c r="C39" s="11">
        <v>42736</v>
      </c>
      <c r="D39" s="11">
        <v>42767</v>
      </c>
      <c r="E39" s="11" t="s">
        <v>73</v>
      </c>
      <c r="F39" s="11">
        <v>42795</v>
      </c>
      <c r="G39" s="11" t="s">
        <v>74</v>
      </c>
      <c r="H39" s="104">
        <v>42826</v>
      </c>
      <c r="I39" s="11" t="s">
        <v>96</v>
      </c>
      <c r="J39" s="104">
        <v>42856</v>
      </c>
      <c r="K39" s="11" t="s">
        <v>99</v>
      </c>
      <c r="L39" s="104">
        <v>42887</v>
      </c>
      <c r="M39" s="110" t="s">
        <v>104</v>
      </c>
      <c r="N39" s="104">
        <v>42917</v>
      </c>
      <c r="O39" s="110" t="s">
        <v>105</v>
      </c>
      <c r="P39" s="104">
        <v>42948</v>
      </c>
      <c r="Q39" s="11" t="s">
        <v>110</v>
      </c>
    </row>
    <row r="40" spans="1:17" s="2" customFormat="1" ht="15.75" customHeight="1">
      <c r="A40" s="7"/>
      <c r="B40" s="13" t="s">
        <v>0</v>
      </c>
      <c r="C40" s="13" t="s">
        <v>0</v>
      </c>
      <c r="D40" s="37"/>
      <c r="E40" s="13" t="s">
        <v>0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0</v>
      </c>
      <c r="K40" s="111" t="s">
        <v>0</v>
      </c>
      <c r="L40" s="13" t="s">
        <v>0</v>
      </c>
      <c r="M40" s="13" t="s">
        <v>0</v>
      </c>
      <c r="N40" s="13" t="s">
        <v>0</v>
      </c>
      <c r="O40" s="116" t="s">
        <v>0</v>
      </c>
      <c r="P40" s="13" t="s">
        <v>0</v>
      </c>
      <c r="Q40" s="111" t="s">
        <v>0</v>
      </c>
    </row>
    <row r="41" spans="1:17" ht="15.75" customHeight="1">
      <c r="A41" s="14" t="s">
        <v>12</v>
      </c>
      <c r="B41" s="28"/>
      <c r="C41" s="28"/>
      <c r="D41" s="12"/>
      <c r="E41" s="16"/>
      <c r="F41" s="12"/>
      <c r="G41" s="16"/>
      <c r="H41" s="12"/>
      <c r="I41" s="16"/>
      <c r="J41" s="12"/>
      <c r="K41" s="16"/>
      <c r="L41" s="12"/>
      <c r="M41" s="12"/>
      <c r="N41" s="12"/>
      <c r="O41" s="12"/>
      <c r="P41" s="12"/>
      <c r="Q41" s="12"/>
    </row>
    <row r="42" spans="1:17" ht="15.75" customHeight="1">
      <c r="A42" s="12"/>
      <c r="B42" s="28"/>
      <c r="C42" s="28"/>
      <c r="D42" s="12"/>
      <c r="E42" s="16"/>
      <c r="F42" s="12"/>
      <c r="G42" s="16"/>
      <c r="H42" s="12"/>
      <c r="I42" s="16"/>
      <c r="J42" s="12"/>
      <c r="K42" s="16"/>
      <c r="L42" s="12"/>
      <c r="M42" s="12"/>
      <c r="N42" s="12"/>
      <c r="O42" s="12"/>
      <c r="P42" s="12"/>
      <c r="Q42" s="12"/>
    </row>
    <row r="43" spans="1:17" ht="15.75" customHeight="1">
      <c r="A43" s="17" t="s">
        <v>13</v>
      </c>
      <c r="B43" s="28">
        <v>1806035</v>
      </c>
      <c r="C43" s="28">
        <f>-'[14]Sheet1'!$B$15</f>
        <v>168775.37214812008</v>
      </c>
      <c r="D43" s="39">
        <f>-('[5]Sheet1'!$C$14)</f>
        <v>152130.10054739998</v>
      </c>
      <c r="E43" s="40">
        <f aca="true" t="shared" si="17" ref="E43:E49">C43+D43</f>
        <v>320905.47269552003</v>
      </c>
      <c r="F43" s="39">
        <f>-'[11]Sheet1'!$D$15</f>
        <v>159615.65132204004</v>
      </c>
      <c r="G43" s="39">
        <f>E43+F43</f>
        <v>480521.12401756004</v>
      </c>
      <c r="H43" s="39">
        <f>-'[14]Sheet1'!$F$15</f>
        <v>156282.42306033</v>
      </c>
      <c r="I43" s="39">
        <f>G43+H43</f>
        <v>636803.54707789</v>
      </c>
      <c r="J43" s="39">
        <f>-'[14]Sheet1'!$G$15</f>
        <v>147237.71039301998</v>
      </c>
      <c r="K43" s="39">
        <f>J43+I43</f>
        <v>784041.25747091</v>
      </c>
      <c r="L43" s="39">
        <f>-'[14]Sheet1'!$H$15</f>
        <v>148929.01025358003</v>
      </c>
      <c r="M43" s="39">
        <f aca="true" t="shared" si="18" ref="M43:O49">L43+K43</f>
        <v>932970.26772449</v>
      </c>
      <c r="N43" s="39">
        <f>-'[15]Sheet1'!$C$15</f>
        <v>188664.34573345003</v>
      </c>
      <c r="O43" s="39">
        <f>N43+M43</f>
        <v>1121634.61345794</v>
      </c>
      <c r="P43" s="28">
        <f>-'[15]Sheet1'!$D$15</f>
        <v>141466.59441766</v>
      </c>
      <c r="Q43" s="39">
        <f>P43+O43</f>
        <v>1263101.2078756</v>
      </c>
    </row>
    <row r="44" spans="1:17" ht="15.75" customHeight="1">
      <c r="A44" s="17" t="s">
        <v>14</v>
      </c>
      <c r="B44" s="28">
        <v>1616462</v>
      </c>
      <c r="C44" s="28">
        <f>-('[5]Sheet1'!$B$15+'[5]Sheet1'!$B$17)</f>
        <v>41857.11160184999</v>
      </c>
      <c r="D44" s="39">
        <f>-('[14]Sheet1'!$C$16+'[14]Sheet1'!$C$17+'[14]Sheet1'!$C$18)</f>
        <v>129941.35263301001</v>
      </c>
      <c r="E44" s="40">
        <f t="shared" si="17"/>
        <v>171798.46423486</v>
      </c>
      <c r="F44" s="39">
        <f>-('[14]Sheet1'!$D$16+'[14]Sheet1'!$D$17+'[14]Sheet1'!$D$18)</f>
        <v>163701.07488146998</v>
      </c>
      <c r="G44" s="39">
        <f aca="true" t="shared" si="19" ref="G44:G49">E44+F44</f>
        <v>335499.53911633</v>
      </c>
      <c r="H44" s="39">
        <f>-('[14]Sheet1'!$F$16+'[14]Sheet1'!$F$17+'[14]Sheet1'!$F$18)</f>
        <v>235976.41026214988</v>
      </c>
      <c r="I44" s="39">
        <f aca="true" t="shared" si="20" ref="I44:I49">G44+H44</f>
        <v>571475.9493784799</v>
      </c>
      <c r="J44" s="39">
        <f>-('[14]Sheet1'!$G$16+'[14]Sheet1'!$G$17+'[14]Sheet1'!$G$18)</f>
        <v>156486.3125452</v>
      </c>
      <c r="K44" s="39">
        <f aca="true" t="shared" si="21" ref="K44:K49">J44+I44</f>
        <v>727962.2619236798</v>
      </c>
      <c r="L44" s="39">
        <f>-('[14]Sheet1'!$H$16+'[14]Sheet1'!$H$17+'[14]Sheet1'!$H$18)</f>
        <v>46676.16533535001</v>
      </c>
      <c r="M44" s="39">
        <f t="shared" si="18"/>
        <v>774638.4272590298</v>
      </c>
      <c r="N44" s="39">
        <f>-('[15]Sheet1'!$C$16+'[15]Sheet1'!$C$17+'[15]Sheet1'!$C$18)</f>
        <v>217119.24092667</v>
      </c>
      <c r="O44" s="39">
        <f t="shared" si="18"/>
        <v>991757.6681856998</v>
      </c>
      <c r="P44" s="28">
        <f>-('[15]Sheet1'!$D$16+'[15]Sheet1'!$D$17+'[15]Sheet1'!$D$18)</f>
        <v>81311.07159817</v>
      </c>
      <c r="Q44" s="39">
        <f aca="true" t="shared" si="22" ref="Q44:Q49">P44+O44</f>
        <v>1073068.7397838698</v>
      </c>
    </row>
    <row r="45" spans="1:17" ht="15.75" customHeight="1">
      <c r="A45" s="17" t="s">
        <v>15</v>
      </c>
      <c r="B45" s="18">
        <v>76361</v>
      </c>
      <c r="C45" s="18">
        <f>'[8]Sheet1'!$B$2</f>
        <v>0</v>
      </c>
      <c r="D45" s="106">
        <f>'[8]Sheet1'!$C$3</f>
        <v>19090000000</v>
      </c>
      <c r="E45" s="106">
        <f t="shared" si="17"/>
        <v>19090000000</v>
      </c>
      <c r="F45" s="18">
        <f>-('[8]Sheet1'!$D$3)</f>
        <v>0</v>
      </c>
      <c r="G45" s="106">
        <f>E45+F45</f>
        <v>19090000000</v>
      </c>
      <c r="H45" s="106">
        <f>'[8]Sheet1'!$E$3</f>
        <v>19090000000</v>
      </c>
      <c r="I45" s="106">
        <f>G45+H45</f>
        <v>38180000000</v>
      </c>
      <c r="J45" s="106">
        <f>'[8]Sheet1'!$G$3</f>
        <v>469975000</v>
      </c>
      <c r="K45" s="106">
        <f t="shared" si="21"/>
        <v>38649975000</v>
      </c>
      <c r="L45" s="18">
        <f>'[10]Sheet1'!$H$3</f>
        <v>0</v>
      </c>
      <c r="M45" s="106">
        <f t="shared" si="18"/>
        <v>38649975000</v>
      </c>
      <c r="N45" s="106">
        <f>'[13]Sheet1'!$B$3</f>
        <v>19090000000</v>
      </c>
      <c r="O45" s="106">
        <f>N45+M45</f>
        <v>57739975000</v>
      </c>
      <c r="P45" s="20">
        <v>0</v>
      </c>
      <c r="Q45" s="106">
        <f>P45+O45</f>
        <v>57739975000</v>
      </c>
    </row>
    <row r="46" spans="1:17" ht="15.75" customHeight="1">
      <c r="A46" s="41" t="s">
        <v>63</v>
      </c>
      <c r="B46" s="18">
        <v>129090</v>
      </c>
      <c r="C46" s="18">
        <f>'[3]Sheet1'!$B$16</f>
        <v>0</v>
      </c>
      <c r="D46" s="19">
        <f>-'[4]Sheet1'!$C$16</f>
        <v>19579.2249</v>
      </c>
      <c r="E46" s="20">
        <f t="shared" si="17"/>
        <v>19579.2249</v>
      </c>
      <c r="F46" s="19">
        <f>-('[6]Sheet1'!$D$16)</f>
        <v>45</v>
      </c>
      <c r="G46" s="19">
        <f t="shared" si="19"/>
        <v>19624.2249</v>
      </c>
      <c r="H46" s="19">
        <f>-('[7]Sheet1'!$F$16)</f>
        <v>80</v>
      </c>
      <c r="I46" s="19">
        <f t="shared" si="20"/>
        <v>19704.2249</v>
      </c>
      <c r="J46" s="19">
        <f>-('[7]Sheet1'!$G$16)</f>
        <v>20300.5719</v>
      </c>
      <c r="K46" s="20">
        <f t="shared" si="21"/>
        <v>40004.7968</v>
      </c>
      <c r="L46" s="19">
        <f>-('[9]Sheet1'!$H$16)</f>
        <v>323.6</v>
      </c>
      <c r="M46" s="20">
        <f t="shared" si="18"/>
        <v>40328.396799999995</v>
      </c>
      <c r="N46" s="19">
        <f>-'[12]Sheet1'!$C$17</f>
        <v>273</v>
      </c>
      <c r="O46" s="20">
        <f t="shared" si="18"/>
        <v>40601.396799999995</v>
      </c>
      <c r="P46" s="19">
        <f>-'[15]Sheet1'!$D$17</f>
        <v>16440.4749</v>
      </c>
      <c r="Q46" s="20">
        <f>P46+O46</f>
        <v>57041.871699999996</v>
      </c>
    </row>
    <row r="47" spans="1:17" ht="15.75" customHeight="1">
      <c r="A47" s="41" t="s">
        <v>17</v>
      </c>
      <c r="B47" s="18">
        <v>128101</v>
      </c>
      <c r="C47" s="18">
        <f>-'[3]Sheet1'!$B$17</f>
        <v>9310.36748976</v>
      </c>
      <c r="D47" s="19">
        <f>-'[4]Sheet1'!$C$17</f>
        <v>9994.26958765</v>
      </c>
      <c r="E47" s="20">
        <f t="shared" si="17"/>
        <v>19304.63707741</v>
      </c>
      <c r="F47" s="18">
        <f>'[6]Sheet1'!$D$17</f>
        <v>0</v>
      </c>
      <c r="G47" s="19">
        <f t="shared" si="19"/>
        <v>19304.63707741</v>
      </c>
      <c r="H47" s="18">
        <f>'[7]Sheet1'!$F$17</f>
        <v>0</v>
      </c>
      <c r="I47" s="19">
        <f t="shared" si="20"/>
        <v>19304.63707741</v>
      </c>
      <c r="J47" s="18">
        <f>'[7]Sheet1'!$G$17</f>
        <v>0</v>
      </c>
      <c r="K47" s="20">
        <f t="shared" si="21"/>
        <v>19304.63707741</v>
      </c>
      <c r="L47" s="18">
        <f>'[9]Sheet1'!$H$17</f>
        <v>0</v>
      </c>
      <c r="M47" s="20">
        <f t="shared" si="18"/>
        <v>19304.63707741</v>
      </c>
      <c r="N47" s="19">
        <f>-'[15]Sheet1'!$C$18</f>
        <v>50017.037997370004</v>
      </c>
      <c r="O47" s="20">
        <f t="shared" si="18"/>
        <v>69321.67507478001</v>
      </c>
      <c r="P47" s="19">
        <f>-'[15]Sheet1'!$D$18</f>
        <v>3081.88960045</v>
      </c>
      <c r="Q47" s="20">
        <f t="shared" si="22"/>
        <v>72403.56467523001</v>
      </c>
    </row>
    <row r="48" spans="1:17" ht="15.75" customHeight="1">
      <c r="A48" s="41" t="s">
        <v>53</v>
      </c>
      <c r="B48" s="18">
        <v>96236</v>
      </c>
      <c r="C48" s="18">
        <f>'[2]Sheet1'!$B$4</f>
        <v>0</v>
      </c>
      <c r="D48" s="106">
        <f>'[10]Sheet1'!$C$4</f>
        <v>1525937552.5</v>
      </c>
      <c r="E48" s="106">
        <f t="shared" si="17"/>
        <v>1525937552.5</v>
      </c>
      <c r="F48" s="106">
        <f>'[8]Sheet1'!$C$5</f>
        <v>5000000000</v>
      </c>
      <c r="G48" s="106">
        <f>E48+F48</f>
        <v>6525937552.5</v>
      </c>
      <c r="H48" s="106">
        <f>'[8]Sheet1'!$F$4</f>
        <v>9334476000.5</v>
      </c>
      <c r="I48" s="106">
        <f t="shared" si="20"/>
        <v>15860413553</v>
      </c>
      <c r="J48" s="106">
        <f>'[8]Sheet1'!$G$4</f>
        <v>22055936849</v>
      </c>
      <c r="K48" s="106">
        <f t="shared" si="21"/>
        <v>37916350402</v>
      </c>
      <c r="L48" s="106">
        <f>'[10]Sheet1'!$H$4</f>
        <v>2680091826</v>
      </c>
      <c r="M48" s="106">
        <f t="shared" si="18"/>
        <v>40596442228</v>
      </c>
      <c r="N48" s="106">
        <f>'[13]Sheet1'!$B$4</f>
        <v>13879501974</v>
      </c>
      <c r="O48" s="106">
        <f t="shared" si="18"/>
        <v>54475944202</v>
      </c>
      <c r="P48" s="20">
        <v>0</v>
      </c>
      <c r="Q48" s="106">
        <f>P48+O48</f>
        <v>54475944202</v>
      </c>
    </row>
    <row r="49" spans="1:17" ht="15.75" customHeight="1">
      <c r="A49" s="22" t="s">
        <v>19</v>
      </c>
      <c r="B49" s="42">
        <v>569066</v>
      </c>
      <c r="C49" s="42">
        <f>-'[3]Sheet1'!$B$18</f>
        <v>16795.44307611</v>
      </c>
      <c r="D49" s="39">
        <f>-'[14]Sheet1'!$C$19</f>
        <v>110230.07688308999</v>
      </c>
      <c r="E49" s="40">
        <f t="shared" si="17"/>
        <v>127025.5199592</v>
      </c>
      <c r="F49" s="61">
        <f>-('[6]Sheet1'!$D$18)</f>
        <v>85120.66539899999</v>
      </c>
      <c r="G49" s="61">
        <f t="shared" si="19"/>
        <v>212146.1853582</v>
      </c>
      <c r="H49" s="61">
        <f>-('[7]Sheet1'!$F$18)</f>
        <v>54305.5892805</v>
      </c>
      <c r="I49" s="61">
        <f t="shared" si="20"/>
        <v>266451.7746387</v>
      </c>
      <c r="J49" s="61">
        <f>-'[11]Sheet1'!$G$19</f>
        <v>3936.6153505800007</v>
      </c>
      <c r="K49" s="39">
        <f t="shared" si="21"/>
        <v>270388.38998928</v>
      </c>
      <c r="L49" s="39">
        <f>-'[14]Sheet1'!$H$19</f>
        <v>165429.77155049</v>
      </c>
      <c r="M49" s="39">
        <f t="shared" si="18"/>
        <v>435818.16153977</v>
      </c>
      <c r="N49" s="61">
        <f>-'[15]Sheet1'!$C$19</f>
        <v>175010.43220489</v>
      </c>
      <c r="O49" s="39">
        <f t="shared" si="18"/>
        <v>610828.59374466</v>
      </c>
      <c r="P49" s="28">
        <f>-'[15]Sheet1'!$D$19</f>
        <v>73971.18661131</v>
      </c>
      <c r="Q49" s="39">
        <f t="shared" si="22"/>
        <v>684799.78035597</v>
      </c>
    </row>
    <row r="50" spans="1:17" ht="15.75" customHeight="1">
      <c r="A50" s="34" t="s">
        <v>20</v>
      </c>
      <c r="B50" s="32">
        <f aca="true" t="shared" si="23" ref="B50:Q50">B43+B44+B49</f>
        <v>3991563</v>
      </c>
      <c r="C50" s="33">
        <f t="shared" si="23"/>
        <v>227427.92682608007</v>
      </c>
      <c r="D50" s="33">
        <f t="shared" si="23"/>
        <v>392301.53006349993</v>
      </c>
      <c r="E50" s="33">
        <f t="shared" si="23"/>
        <v>619729.45688958</v>
      </c>
      <c r="F50" s="33">
        <f t="shared" si="23"/>
        <v>408437.39160251</v>
      </c>
      <c r="G50" s="33">
        <f t="shared" si="23"/>
        <v>1028166.84849209</v>
      </c>
      <c r="H50" s="33">
        <f t="shared" si="23"/>
        <v>446564.4226029799</v>
      </c>
      <c r="I50" s="33">
        <f t="shared" si="23"/>
        <v>1474731.2710950698</v>
      </c>
      <c r="J50" s="33">
        <f>J43+J44+J49</f>
        <v>307660.63828879996</v>
      </c>
      <c r="K50" s="33">
        <f t="shared" si="23"/>
        <v>1782391.9093838697</v>
      </c>
      <c r="L50" s="33">
        <f>L43+L44+L49</f>
        <v>361034.94713942</v>
      </c>
      <c r="M50" s="33">
        <f t="shared" si="23"/>
        <v>2143426.85652329</v>
      </c>
      <c r="N50" s="33">
        <f>N43+N44+N49</f>
        <v>580794.01886501</v>
      </c>
      <c r="O50" s="33">
        <f t="shared" si="23"/>
        <v>2724220.8753883</v>
      </c>
      <c r="P50" s="33">
        <f>P43+P44+P49</f>
        <v>296748.85262714</v>
      </c>
      <c r="Q50" s="33">
        <f t="shared" si="23"/>
        <v>3020969.72801544</v>
      </c>
    </row>
    <row r="51" spans="1:17" ht="15.75" customHeight="1">
      <c r="A51" s="25"/>
      <c r="B51" s="43"/>
      <c r="C51" s="44"/>
      <c r="D51" s="45"/>
      <c r="E51" s="16"/>
      <c r="F51" s="45"/>
      <c r="G51" s="16"/>
      <c r="H51" s="43"/>
      <c r="I51" s="44"/>
      <c r="J51" s="43"/>
      <c r="K51" s="44"/>
      <c r="L51" s="7"/>
      <c r="M51" s="7"/>
      <c r="N51" s="25"/>
      <c r="O51" s="25"/>
      <c r="P51" s="115"/>
      <c r="Q51" s="51"/>
    </row>
    <row r="52" spans="1:17" ht="15.75" customHeight="1">
      <c r="A52" s="34" t="s">
        <v>55</v>
      </c>
      <c r="B52" s="26">
        <f aca="true" t="shared" si="24" ref="B52:I52">B34-B50</f>
        <v>561435</v>
      </c>
      <c r="C52" s="33">
        <f t="shared" si="24"/>
        <v>528.2680596799473</v>
      </c>
      <c r="D52" s="33">
        <f t="shared" si="24"/>
        <v>-145322.54869011993</v>
      </c>
      <c r="E52" s="33">
        <f t="shared" si="24"/>
        <v>-144794.28063044004</v>
      </c>
      <c r="F52" s="26">
        <f t="shared" si="24"/>
        <v>-126272.81014903996</v>
      </c>
      <c r="G52" s="33">
        <f t="shared" si="24"/>
        <v>-271067.0907794798</v>
      </c>
      <c r="H52" s="33">
        <f>H34-H50</f>
        <v>-224442.47027386984</v>
      </c>
      <c r="I52" s="33">
        <f t="shared" si="24"/>
        <v>-495509.56105334975</v>
      </c>
      <c r="J52" s="33">
        <f aca="true" t="shared" si="25" ref="J52:Q52">J34-J50</f>
        <v>-46948.92456872994</v>
      </c>
      <c r="K52" s="33">
        <f t="shared" si="25"/>
        <v>-542458.4856220796</v>
      </c>
      <c r="L52" s="33">
        <f t="shared" si="25"/>
        <v>149804.71278491</v>
      </c>
      <c r="M52" s="33">
        <f t="shared" si="25"/>
        <v>-392653.77283717017</v>
      </c>
      <c r="N52" s="33">
        <f t="shared" si="25"/>
        <v>-70692.86248345004</v>
      </c>
      <c r="O52" s="33">
        <f t="shared" si="25"/>
        <v>-463346.6353206197</v>
      </c>
      <c r="P52" s="33">
        <f t="shared" si="25"/>
        <v>-79791.99999695</v>
      </c>
      <c r="Q52" s="33">
        <f t="shared" si="25"/>
        <v>-543138.6353175701</v>
      </c>
    </row>
    <row r="53" spans="1:17" ht="15.75" customHeight="1">
      <c r="A53" s="37"/>
      <c r="B53" s="27"/>
      <c r="C53" s="46"/>
      <c r="D53" s="12"/>
      <c r="E53" s="16"/>
      <c r="F53" s="7"/>
      <c r="G53" s="51"/>
      <c r="H53" s="7"/>
      <c r="I53" s="51"/>
      <c r="J53" s="7"/>
      <c r="K53" s="51"/>
      <c r="L53" s="7"/>
      <c r="M53" s="7"/>
      <c r="N53" s="7"/>
      <c r="O53" s="7"/>
      <c r="P53" s="7"/>
      <c r="Q53" s="51"/>
    </row>
    <row r="54" spans="1:17" ht="15.75" customHeight="1">
      <c r="A54" s="17" t="s">
        <v>21</v>
      </c>
      <c r="B54" s="28">
        <f>B55+B56</f>
        <v>-548178</v>
      </c>
      <c r="C54" s="46">
        <f>C55+C56</f>
        <v>-31217.820088810004</v>
      </c>
      <c r="D54" s="46">
        <f>D55+D56</f>
        <v>-51503.144302600005</v>
      </c>
      <c r="E54" s="40">
        <f aca="true" t="shared" si="26" ref="E54:E68">C54+D54</f>
        <v>-82720.96439141</v>
      </c>
      <c r="F54" s="40">
        <f>F55+F56</f>
        <v>-43123.60316140999</v>
      </c>
      <c r="G54" s="40">
        <f>F54+E54</f>
        <v>-125844.56755282</v>
      </c>
      <c r="H54" s="40">
        <f>H55+H56</f>
        <v>-65185.67233013001</v>
      </c>
      <c r="I54" s="40">
        <f aca="true" t="shared" si="27" ref="I54:I68">G54+H54</f>
        <v>-191030.23988295</v>
      </c>
      <c r="J54" s="40">
        <f>J55+J56</f>
        <v>-41230.95503725</v>
      </c>
      <c r="K54" s="40">
        <f>I54+J54</f>
        <v>-232261.1949202</v>
      </c>
      <c r="L54" s="40">
        <f>L55+L56</f>
        <v>-70519.51621577</v>
      </c>
      <c r="M54" s="40">
        <f aca="true" t="shared" si="28" ref="M54:Q68">K54+L54</f>
        <v>-302780.71113597</v>
      </c>
      <c r="N54" s="40">
        <f>N55+N56</f>
        <v>-38424.55503057001</v>
      </c>
      <c r="O54" s="40">
        <f t="shared" si="28"/>
        <v>-341205.26616654004</v>
      </c>
      <c r="P54" s="40">
        <f>P55+P56</f>
        <v>-42601.60579162</v>
      </c>
      <c r="Q54" s="40">
        <f t="shared" si="28"/>
        <v>-383806.87195816</v>
      </c>
    </row>
    <row r="55" spans="1:17" ht="15.75" customHeight="1">
      <c r="A55" s="47" t="s">
        <v>22</v>
      </c>
      <c r="B55" s="18">
        <v>-468421</v>
      </c>
      <c r="C55" s="21">
        <f>'[7]Sheet1'!$B$23</f>
        <v>-28202.254786160003</v>
      </c>
      <c r="D55" s="21">
        <f>'[7]Sheet1'!$C$23</f>
        <v>-46679.24746769001</v>
      </c>
      <c r="E55" s="20">
        <f t="shared" si="26"/>
        <v>-74881.50225385002</v>
      </c>
      <c r="F55" s="20">
        <f>'[6]Sheet1'!$D$23</f>
        <v>-39243.636037059994</v>
      </c>
      <c r="G55" s="20">
        <f>F55+E55</f>
        <v>-114125.13829091002</v>
      </c>
      <c r="H55" s="20">
        <f>'[11]Sheet1'!$F$24</f>
        <v>-58267.75359888001</v>
      </c>
      <c r="I55" s="20">
        <f t="shared" si="27"/>
        <v>-172392.89188979001</v>
      </c>
      <c r="J55" s="19">
        <f>'[11]Sheet1'!$G$24</f>
        <v>-37806.68734057</v>
      </c>
      <c r="K55" s="20">
        <f>I55+J55</f>
        <v>-210199.57923036002</v>
      </c>
      <c r="L55" s="19">
        <f>'[11]Sheet1'!$H$24</f>
        <v>-58046.5512378</v>
      </c>
      <c r="M55" s="20">
        <f t="shared" si="28"/>
        <v>-268246.13046816003</v>
      </c>
      <c r="N55" s="19">
        <f>'[12]Sheet1'!$C$24</f>
        <v>-35790.13374070001</v>
      </c>
      <c r="O55" s="20">
        <f t="shared" si="28"/>
        <v>-304036.26420886006</v>
      </c>
      <c r="P55" s="19">
        <f>'[15]Sheet1'!$D$24</f>
        <v>-36522.66414172</v>
      </c>
      <c r="Q55" s="40">
        <f>O55+P55</f>
        <v>-340558.92835058004</v>
      </c>
    </row>
    <row r="56" spans="1:17" ht="15.75" customHeight="1">
      <c r="A56" s="47" t="s">
        <v>23</v>
      </c>
      <c r="B56" s="18">
        <v>-79757</v>
      </c>
      <c r="C56" s="21">
        <f>'[3]Sheet1'!$B$24</f>
        <v>-3015.56530265</v>
      </c>
      <c r="D56" s="21">
        <f>'[4]Sheet1'!$C$24</f>
        <v>-4823.89683491</v>
      </c>
      <c r="E56" s="20">
        <f t="shared" si="26"/>
        <v>-7839.46213756</v>
      </c>
      <c r="F56" s="20">
        <f>'[6]Sheet1'!$D$24</f>
        <v>-3879.96712435</v>
      </c>
      <c r="G56" s="20">
        <f>F56+E56</f>
        <v>-11719.42926191</v>
      </c>
      <c r="H56" s="20">
        <f>'[7]Sheet1'!$F$24</f>
        <v>-6917.918731249998</v>
      </c>
      <c r="I56" s="20">
        <f t="shared" si="27"/>
        <v>-18637.347993159998</v>
      </c>
      <c r="J56" s="19">
        <f>'[9]Sheet1'!$G$24</f>
        <v>-3424.26769668</v>
      </c>
      <c r="K56" s="20">
        <f>I56+J56</f>
        <v>-22061.615689839997</v>
      </c>
      <c r="L56" s="19">
        <f>'[11]Sheet1'!$H$25</f>
        <v>-12472.96497797</v>
      </c>
      <c r="M56" s="20">
        <f t="shared" si="28"/>
        <v>-34534.58066781</v>
      </c>
      <c r="N56" s="19">
        <f>'[12]Sheet1'!$C$25</f>
        <v>-2634.42128987</v>
      </c>
      <c r="O56" s="20">
        <f t="shared" si="28"/>
        <v>-37169.00195768</v>
      </c>
      <c r="P56" s="19">
        <f>'[15]Sheet1'!$D$25</f>
        <v>-6078.941649900001</v>
      </c>
      <c r="Q56" s="40">
        <f t="shared" si="28"/>
        <v>-43247.94360758</v>
      </c>
    </row>
    <row r="57" spans="1:17" ht="15.75" customHeight="1">
      <c r="A57" s="17" t="s">
        <v>24</v>
      </c>
      <c r="B57" s="28">
        <f>B59+B60+B61+B58</f>
        <v>-21529</v>
      </c>
      <c r="C57" s="46">
        <f>SUM(C58:C61)</f>
        <v>-2886.135985</v>
      </c>
      <c r="D57" s="46">
        <f>SUM(D58:D61)</f>
        <v>-63869.021881</v>
      </c>
      <c r="E57" s="40">
        <f t="shared" si="26"/>
        <v>-66755.157866</v>
      </c>
      <c r="F57" s="40">
        <f>F58+F59+F60+F61</f>
        <v>-48163.24057685999</v>
      </c>
      <c r="G57" s="40">
        <f>F57+E57</f>
        <v>-114918.39844286</v>
      </c>
      <c r="H57" s="40">
        <f>H58+H59+H60+H61</f>
        <v>-980</v>
      </c>
      <c r="I57" s="40">
        <f t="shared" si="27"/>
        <v>-115898.39844286</v>
      </c>
      <c r="J57" s="40">
        <f>J58+J59+J60+J61</f>
        <v>-3431.75714294</v>
      </c>
      <c r="K57" s="40">
        <f>I57+J57</f>
        <v>-119330.15558579999</v>
      </c>
      <c r="L57" s="40">
        <f>L58+L59+L60+L61</f>
        <v>-306.2400529999998</v>
      </c>
      <c r="M57" s="40">
        <f t="shared" si="28"/>
        <v>-119636.3956388</v>
      </c>
      <c r="N57" s="40">
        <f>N58+N59+N60+N61</f>
        <v>-4867.620697</v>
      </c>
      <c r="O57" s="40">
        <f t="shared" si="28"/>
        <v>-124504.0163358</v>
      </c>
      <c r="P57" s="40">
        <f>P58+P59+P60+P61</f>
        <v>-278.94599999999997</v>
      </c>
      <c r="Q57" s="40">
        <f t="shared" si="28"/>
        <v>-124782.9623358</v>
      </c>
    </row>
    <row r="58" spans="1:17" ht="15.75" customHeight="1">
      <c r="A58" s="47" t="s">
        <v>25</v>
      </c>
      <c r="B58" s="18">
        <v>-19007</v>
      </c>
      <c r="C58" s="21">
        <v>0</v>
      </c>
      <c r="D58" s="21">
        <v>0</v>
      </c>
      <c r="E58" s="20">
        <f t="shared" si="26"/>
        <v>0</v>
      </c>
      <c r="F58" s="21">
        <v>0</v>
      </c>
      <c r="G58" s="20">
        <f>F58+E58</f>
        <v>0</v>
      </c>
      <c r="H58" s="21">
        <v>0</v>
      </c>
      <c r="I58" s="20">
        <f>G58+H58</f>
        <v>0</v>
      </c>
      <c r="J58" s="40">
        <v>0</v>
      </c>
      <c r="K58" s="20">
        <f>I58+J58</f>
        <v>0</v>
      </c>
      <c r="L58" s="40">
        <f>0</f>
        <v>0</v>
      </c>
      <c r="M58" s="20">
        <f t="shared" si="28"/>
        <v>0</v>
      </c>
      <c r="N58" s="20">
        <v>0</v>
      </c>
      <c r="O58" s="40">
        <f t="shared" si="28"/>
        <v>0</v>
      </c>
      <c r="P58" s="20">
        <v>0</v>
      </c>
      <c r="Q58" s="40">
        <f t="shared" si="28"/>
        <v>0</v>
      </c>
    </row>
    <row r="59" spans="1:17" ht="15.75" customHeight="1">
      <c r="A59" s="47" t="s">
        <v>26</v>
      </c>
      <c r="B59" s="18">
        <v>0</v>
      </c>
      <c r="C59" s="21">
        <f>'[3]Sheet1'!$B$25</f>
        <v>-253.237311</v>
      </c>
      <c r="D59" s="21">
        <f>'[4]Sheet1'!$C$25</f>
        <v>0</v>
      </c>
      <c r="E59" s="20">
        <f t="shared" si="26"/>
        <v>-253.237311</v>
      </c>
      <c r="F59" s="20">
        <f>'[6]Sheet1'!$D$25</f>
        <v>-127.65315000000001</v>
      </c>
      <c r="G59" s="20">
        <f aca="true" t="shared" si="29" ref="G59:G68">F59+E59</f>
        <v>-380.890461</v>
      </c>
      <c r="H59" s="21">
        <f>'[7]Sheet1'!$F$25</f>
        <v>0</v>
      </c>
      <c r="I59" s="20">
        <f t="shared" si="27"/>
        <v>-380.890461</v>
      </c>
      <c r="J59" s="40">
        <f>'[7]Sheet1'!$G$25</f>
        <v>0</v>
      </c>
      <c r="K59" s="20">
        <f aca="true" t="shared" si="30" ref="K59:K68">I59+J59</f>
        <v>-380.890461</v>
      </c>
      <c r="L59" s="19">
        <f>'[9]Sheet1'!$H$25</f>
        <v>-130.21905299999983</v>
      </c>
      <c r="M59" s="20">
        <f t="shared" si="28"/>
        <v>-511.1095139999999</v>
      </c>
      <c r="N59" s="19">
        <f>'[12]Sheet1'!$C$26</f>
        <v>-3514.0438390000004</v>
      </c>
      <c r="O59" s="20">
        <f t="shared" si="28"/>
        <v>-4025.153353</v>
      </c>
      <c r="P59" s="20">
        <v>0</v>
      </c>
      <c r="Q59" s="40">
        <f t="shared" si="28"/>
        <v>-4025.153353</v>
      </c>
    </row>
    <row r="60" spans="1:17" ht="12">
      <c r="A60" s="47" t="s">
        <v>27</v>
      </c>
      <c r="B60" s="18">
        <v>-2522</v>
      </c>
      <c r="C60" s="21">
        <v>0</v>
      </c>
      <c r="D60" s="12"/>
      <c r="E60" s="20">
        <f t="shared" si="26"/>
        <v>0</v>
      </c>
      <c r="F60" s="12"/>
      <c r="G60" s="20">
        <f t="shared" si="29"/>
        <v>0</v>
      </c>
      <c r="H60" s="21">
        <v>0</v>
      </c>
      <c r="I60" s="20">
        <f t="shared" si="27"/>
        <v>0</v>
      </c>
      <c r="J60" s="40">
        <v>0</v>
      </c>
      <c r="K60" s="20">
        <f t="shared" si="30"/>
        <v>0</v>
      </c>
      <c r="L60" s="40">
        <f>0</f>
        <v>0</v>
      </c>
      <c r="M60" s="20">
        <f t="shared" si="28"/>
        <v>0</v>
      </c>
      <c r="N60" s="20">
        <v>0</v>
      </c>
      <c r="O60" s="40">
        <f t="shared" si="28"/>
        <v>0</v>
      </c>
      <c r="P60" s="20">
        <v>0</v>
      </c>
      <c r="Q60" s="40">
        <f t="shared" si="28"/>
        <v>0</v>
      </c>
    </row>
    <row r="61" spans="1:17" ht="12">
      <c r="A61" s="47" t="s">
        <v>28</v>
      </c>
      <c r="B61" s="18">
        <v>0</v>
      </c>
      <c r="C61" s="21">
        <f>'[3]Sheet1'!$B$26</f>
        <v>-2632.898674</v>
      </c>
      <c r="D61" s="21">
        <f>'[4]Sheet1'!$C$26</f>
        <v>-63869.021881</v>
      </c>
      <c r="E61" s="20">
        <f t="shared" si="26"/>
        <v>-66501.920555</v>
      </c>
      <c r="F61" s="20">
        <f>'[14]Sheet1'!$D$27</f>
        <v>-48035.587426859995</v>
      </c>
      <c r="G61" s="20">
        <f t="shared" si="29"/>
        <v>-114537.50798185999</v>
      </c>
      <c r="H61" s="20">
        <f>'[7]Sheet1'!$F$26</f>
        <v>-980</v>
      </c>
      <c r="I61" s="20">
        <f t="shared" si="27"/>
        <v>-115517.50798185999</v>
      </c>
      <c r="J61" s="19">
        <f>'[14]Sheet1'!$G$27</f>
        <v>-3431.75714294</v>
      </c>
      <c r="K61" s="20">
        <f>I61+J61</f>
        <v>-118949.26512479999</v>
      </c>
      <c r="L61" s="19">
        <f>'[9]Sheet1'!$H$26</f>
        <v>-176.021</v>
      </c>
      <c r="M61" s="20">
        <f t="shared" si="28"/>
        <v>-119125.28612479998</v>
      </c>
      <c r="N61" s="19">
        <f>'[12]Sheet1'!$C$27</f>
        <v>-1353.5768580000001</v>
      </c>
      <c r="O61" s="20">
        <f t="shared" si="28"/>
        <v>-120478.86298279998</v>
      </c>
      <c r="P61" s="19">
        <f>'[15]Sheet1'!$D$27</f>
        <v>-278.94599999999997</v>
      </c>
      <c r="Q61" s="40">
        <f t="shared" si="28"/>
        <v>-120757.80898279998</v>
      </c>
    </row>
    <row r="62" spans="1:17" ht="12">
      <c r="A62" s="47" t="s">
        <v>68</v>
      </c>
      <c r="B62" s="28">
        <v>-50030</v>
      </c>
      <c r="C62" s="21">
        <v>0</v>
      </c>
      <c r="D62" s="21">
        <v>0</v>
      </c>
      <c r="E62" s="20">
        <f t="shared" si="26"/>
        <v>0</v>
      </c>
      <c r="F62" s="21">
        <v>0</v>
      </c>
      <c r="G62" s="20">
        <f>F62+E62</f>
        <v>0</v>
      </c>
      <c r="H62" s="21">
        <v>0</v>
      </c>
      <c r="I62" s="20">
        <f t="shared" si="27"/>
        <v>0</v>
      </c>
      <c r="J62" s="40">
        <v>0</v>
      </c>
      <c r="K62" s="20">
        <f t="shared" si="30"/>
        <v>0</v>
      </c>
      <c r="L62" s="40">
        <f>0</f>
        <v>0</v>
      </c>
      <c r="M62" s="20">
        <f t="shared" si="28"/>
        <v>0</v>
      </c>
      <c r="N62" s="20">
        <v>0</v>
      </c>
      <c r="O62" s="40">
        <f t="shared" si="28"/>
        <v>0</v>
      </c>
      <c r="P62" s="20">
        <v>0</v>
      </c>
      <c r="Q62" s="40">
        <f t="shared" si="28"/>
        <v>0</v>
      </c>
    </row>
    <row r="63" spans="1:17" ht="12">
      <c r="A63" s="48" t="s">
        <v>29</v>
      </c>
      <c r="B63" s="18">
        <v>0</v>
      </c>
      <c r="C63" s="21">
        <f>'[3]Sheet1'!$B$21</f>
        <v>41062.360691499984</v>
      </c>
      <c r="D63" s="19">
        <f>'[4]Sheet1'!$C$21</f>
        <v>112776.86560540002</v>
      </c>
      <c r="E63" s="20">
        <f t="shared" si="26"/>
        <v>153839.22629690001</v>
      </c>
      <c r="F63" s="20">
        <f>'[6]Sheet1'!$D$21</f>
        <v>-42177.59871389999</v>
      </c>
      <c r="G63" s="20">
        <f t="shared" si="29"/>
        <v>111661.62758300002</v>
      </c>
      <c r="H63" s="19">
        <f>'[7]Sheet1'!$F$21</f>
        <v>155363.94679600006</v>
      </c>
      <c r="I63" s="20">
        <f t="shared" si="27"/>
        <v>267025.5743790001</v>
      </c>
      <c r="J63" s="19">
        <f>'[14]Sheet1'!$G$22</f>
        <v>-25120.320550799985</v>
      </c>
      <c r="K63" s="20">
        <f>I63+J63</f>
        <v>241905.25382820013</v>
      </c>
      <c r="L63" s="19">
        <f>'[11]Sheet1'!$H$22</f>
        <v>-32631.081888599998</v>
      </c>
      <c r="M63" s="20">
        <f t="shared" si="28"/>
        <v>209274.17193960014</v>
      </c>
      <c r="N63" s="20">
        <f>'[15]Sheet1'!$C$22</f>
        <v>29723.938574400017</v>
      </c>
      <c r="O63" s="20">
        <f t="shared" si="28"/>
        <v>238998.11051400017</v>
      </c>
      <c r="P63" s="19">
        <f>'[15]Sheet1'!$D$22</f>
        <v>-80507.38607224997</v>
      </c>
      <c r="Q63" s="40">
        <f t="shared" si="28"/>
        <v>158490.7244417502</v>
      </c>
    </row>
    <row r="64" spans="1:17" ht="12">
      <c r="A64" s="49" t="s">
        <v>42</v>
      </c>
      <c r="B64" s="21">
        <v>0</v>
      </c>
      <c r="C64" s="21">
        <f>'[14]Sheet1'!$B$21+100485</f>
        <v>14452.590727959963</v>
      </c>
      <c r="D64" s="21">
        <f>'[14]Sheet1'!$C$21+28445</f>
        <v>-11282.718095080003</v>
      </c>
      <c r="E64" s="20">
        <f t="shared" si="26"/>
        <v>3169.8726328799603</v>
      </c>
      <c r="F64" s="19">
        <f>'[14]Sheet1'!$D$21</f>
        <v>3120.2475672200003</v>
      </c>
      <c r="G64" s="20">
        <f t="shared" si="29"/>
        <v>6290.12020009996</v>
      </c>
      <c r="H64" s="20">
        <f>'[14]Sheet1'!$F$21</f>
        <v>-1389.5932584499992</v>
      </c>
      <c r="I64" s="20">
        <f t="shared" si="27"/>
        <v>4900.526941649961</v>
      </c>
      <c r="J64" s="19">
        <f>'[14]Sheet1'!$G$21</f>
        <v>1164.6152961800026</v>
      </c>
      <c r="K64" s="20">
        <f t="shared" si="30"/>
        <v>6065.142237829964</v>
      </c>
      <c r="L64" s="19">
        <f>'[14]Sheet1'!$H$21+32524</f>
        <v>15212.003245570002</v>
      </c>
      <c r="M64" s="20">
        <f>K64+L64</f>
        <v>21277.145483399967</v>
      </c>
      <c r="N64" s="19">
        <f>'[15]Sheet1'!$C$21+27629</f>
        <v>-144065.38483558997</v>
      </c>
      <c r="O64" s="20">
        <f t="shared" si="28"/>
        <v>-122788.23935219</v>
      </c>
      <c r="P64" s="19">
        <f>'[15]Sheet1'!$D$21+423</f>
        <v>10971.600588840005</v>
      </c>
      <c r="Q64" s="40">
        <f t="shared" si="28"/>
        <v>-111816.63876334998</v>
      </c>
    </row>
    <row r="65" spans="1:17" ht="12">
      <c r="A65" s="48" t="s">
        <v>30</v>
      </c>
      <c r="B65" s="28">
        <v>0</v>
      </c>
      <c r="C65" s="46"/>
      <c r="D65" s="12"/>
      <c r="E65" s="20">
        <f t="shared" si="26"/>
        <v>0</v>
      </c>
      <c r="F65" s="12"/>
      <c r="G65" s="20">
        <f t="shared" si="29"/>
        <v>0</v>
      </c>
      <c r="H65" s="12"/>
      <c r="I65" s="20">
        <f t="shared" si="27"/>
        <v>0</v>
      </c>
      <c r="J65" s="12"/>
      <c r="K65" s="20">
        <f t="shared" si="30"/>
        <v>0</v>
      </c>
      <c r="L65" s="12"/>
      <c r="M65" s="28">
        <v>0</v>
      </c>
      <c r="N65" s="28">
        <v>0</v>
      </c>
      <c r="O65" s="20">
        <f t="shared" si="28"/>
        <v>0</v>
      </c>
      <c r="P65" s="20">
        <v>0</v>
      </c>
      <c r="Q65" s="40">
        <f t="shared" si="28"/>
        <v>0</v>
      </c>
    </row>
    <row r="66" spans="1:17" ht="12">
      <c r="A66" s="48" t="s">
        <v>31</v>
      </c>
      <c r="B66" s="28">
        <v>0</v>
      </c>
      <c r="C66" s="46"/>
      <c r="D66" s="12"/>
      <c r="E66" s="20">
        <f t="shared" si="26"/>
        <v>0</v>
      </c>
      <c r="F66" s="12"/>
      <c r="G66" s="20">
        <f t="shared" si="29"/>
        <v>0</v>
      </c>
      <c r="H66" s="12"/>
      <c r="I66" s="20">
        <f t="shared" si="27"/>
        <v>0</v>
      </c>
      <c r="J66" s="12"/>
      <c r="K66" s="20">
        <f t="shared" si="30"/>
        <v>0</v>
      </c>
      <c r="L66" s="12"/>
      <c r="M66" s="28">
        <v>0</v>
      </c>
      <c r="N66" s="28">
        <v>0</v>
      </c>
      <c r="O66" s="40">
        <f t="shared" si="28"/>
        <v>0</v>
      </c>
      <c r="P66" s="20">
        <v>0</v>
      </c>
      <c r="Q66" s="40">
        <f t="shared" si="28"/>
        <v>0</v>
      </c>
    </row>
    <row r="67" spans="1:17" ht="12">
      <c r="A67" s="48" t="s">
        <v>32</v>
      </c>
      <c r="B67" s="28">
        <v>0</v>
      </c>
      <c r="C67" s="21">
        <v>0</v>
      </c>
      <c r="D67" s="12"/>
      <c r="E67" s="20">
        <f t="shared" si="26"/>
        <v>0</v>
      </c>
      <c r="F67" s="12"/>
      <c r="G67" s="20">
        <f t="shared" si="29"/>
        <v>0</v>
      </c>
      <c r="H67" s="12"/>
      <c r="I67" s="20">
        <f t="shared" si="27"/>
        <v>0</v>
      </c>
      <c r="J67" s="12"/>
      <c r="K67" s="20">
        <f t="shared" si="30"/>
        <v>0</v>
      </c>
      <c r="L67" s="12"/>
      <c r="M67" s="28">
        <v>0</v>
      </c>
      <c r="N67" s="28">
        <v>0</v>
      </c>
      <c r="O67" s="40">
        <f t="shared" si="28"/>
        <v>0</v>
      </c>
      <c r="P67" s="20">
        <v>0</v>
      </c>
      <c r="Q67" s="40">
        <f t="shared" si="28"/>
        <v>0</v>
      </c>
    </row>
    <row r="68" spans="1:17" ht="12">
      <c r="A68" s="48" t="s">
        <v>33</v>
      </c>
      <c r="B68" s="28">
        <v>0</v>
      </c>
      <c r="C68" s="21">
        <v>0</v>
      </c>
      <c r="D68" s="21">
        <v>0</v>
      </c>
      <c r="E68" s="20">
        <f t="shared" si="26"/>
        <v>0</v>
      </c>
      <c r="F68" s="21">
        <v>0</v>
      </c>
      <c r="G68" s="20">
        <f t="shared" si="29"/>
        <v>0</v>
      </c>
      <c r="H68" s="20">
        <v>0</v>
      </c>
      <c r="I68" s="20">
        <f t="shared" si="27"/>
        <v>0</v>
      </c>
      <c r="J68" s="40">
        <v>0</v>
      </c>
      <c r="K68" s="20">
        <f t="shared" si="30"/>
        <v>0</v>
      </c>
      <c r="L68" s="20">
        <f>0</f>
        <v>0</v>
      </c>
      <c r="M68" s="20">
        <f>K68+L68</f>
        <v>0</v>
      </c>
      <c r="N68" s="28">
        <v>0</v>
      </c>
      <c r="O68" s="40">
        <f t="shared" si="28"/>
        <v>0</v>
      </c>
      <c r="P68" s="20">
        <v>0</v>
      </c>
      <c r="Q68" s="40">
        <f t="shared" si="28"/>
        <v>0</v>
      </c>
    </row>
    <row r="69" spans="1:17" ht="12">
      <c r="A69" s="34" t="s">
        <v>54</v>
      </c>
      <c r="B69" s="26">
        <f>B54+B57+B64+B62+B68</f>
        <v>-619737</v>
      </c>
      <c r="C69" s="26">
        <f>C54+C57+C63+C65+C66+C67+C68+C64</f>
        <v>21410.995345649942</v>
      </c>
      <c r="D69" s="26">
        <f>D54+D57+D63+D65+D66+D67+D68+D64</f>
        <v>-13878.018673279985</v>
      </c>
      <c r="E69" s="26">
        <f>E54+E57+E63+E65+E66+E67+E68+E64</f>
        <v>7532.9766723699795</v>
      </c>
      <c r="F69" s="26">
        <f>F54+F57+F63+F65+F66+F67+F68+F64</f>
        <v>-130344.19488494999</v>
      </c>
      <c r="G69" s="26">
        <f>G54+G57+G63+G65+G66+G67+G68+G64</f>
        <v>-122811.21821258</v>
      </c>
      <c r="H69" s="26">
        <f aca="true" t="shared" si="31" ref="H69:Q69">H54+H57+H62+H63+H65+H66+H67+H68+H64</f>
        <v>87808.68120742006</v>
      </c>
      <c r="I69" s="26">
        <f t="shared" si="31"/>
        <v>-35002.53700515989</v>
      </c>
      <c r="J69" s="26">
        <f t="shared" si="31"/>
        <v>-68618.41743480999</v>
      </c>
      <c r="K69" s="26">
        <f t="shared" si="31"/>
        <v>-103620.9544399699</v>
      </c>
      <c r="L69" s="26">
        <f t="shared" si="31"/>
        <v>-88244.83491179999</v>
      </c>
      <c r="M69" s="26">
        <f t="shared" si="31"/>
        <v>-191865.7893517699</v>
      </c>
      <c r="N69" s="26">
        <f t="shared" si="31"/>
        <v>-157633.62198875996</v>
      </c>
      <c r="O69" s="26">
        <f t="shared" si="31"/>
        <v>-349499.41134052986</v>
      </c>
      <c r="P69" s="26">
        <f t="shared" si="31"/>
        <v>-112416.33727502996</v>
      </c>
      <c r="Q69" s="26">
        <f t="shared" si="31"/>
        <v>-461915.7486155598</v>
      </c>
    </row>
    <row r="70" spans="1:17" ht="15.75" customHeight="1">
      <c r="A70" s="43"/>
      <c r="B70" s="50"/>
      <c r="C70" s="44"/>
      <c r="D70" s="45"/>
      <c r="E70" s="16"/>
      <c r="F70" s="12"/>
      <c r="G70" s="16"/>
      <c r="H70" s="25"/>
      <c r="I70" s="25"/>
      <c r="J70" s="43"/>
      <c r="K70" s="44"/>
      <c r="L70" s="7"/>
      <c r="M70" s="7"/>
      <c r="N70" s="25"/>
      <c r="O70" s="25"/>
      <c r="P70" s="115"/>
      <c r="Q70" s="51"/>
    </row>
    <row r="71" spans="1:17" ht="15.75" customHeight="1">
      <c r="A71" s="34" t="s">
        <v>56</v>
      </c>
      <c r="B71" s="26">
        <f aca="true" t="shared" si="32" ref="B71:I71">B52+B69</f>
        <v>-58302</v>
      </c>
      <c r="C71" s="26">
        <f t="shared" si="32"/>
        <v>21939.26340532989</v>
      </c>
      <c r="D71" s="26">
        <f t="shared" si="32"/>
        <v>-159200.56736339992</v>
      </c>
      <c r="E71" s="26">
        <f t="shared" si="32"/>
        <v>-137261.30395807006</v>
      </c>
      <c r="F71" s="26">
        <f t="shared" si="32"/>
        <v>-256617.00503398996</v>
      </c>
      <c r="G71" s="26">
        <f t="shared" si="32"/>
        <v>-393878.30899205984</v>
      </c>
      <c r="H71" s="26">
        <f t="shared" si="32"/>
        <v>-136633.7890664498</v>
      </c>
      <c r="I71" s="26">
        <f t="shared" si="32"/>
        <v>-530512.0980585096</v>
      </c>
      <c r="J71" s="26">
        <f aca="true" t="shared" si="33" ref="J71:Q71">J52+J69</f>
        <v>-115567.34200353993</v>
      </c>
      <c r="K71" s="26">
        <f t="shared" si="33"/>
        <v>-646079.4400620494</v>
      </c>
      <c r="L71" s="26">
        <f t="shared" si="33"/>
        <v>61559.87787311</v>
      </c>
      <c r="M71" s="26">
        <f t="shared" si="33"/>
        <v>-584519.5621889401</v>
      </c>
      <c r="N71" s="26">
        <f t="shared" si="33"/>
        <v>-228326.48447221</v>
      </c>
      <c r="O71" s="26">
        <f t="shared" si="33"/>
        <v>-812846.0466611495</v>
      </c>
      <c r="P71" s="26">
        <f>P52+P69</f>
        <v>-192208.33727197995</v>
      </c>
      <c r="Q71" s="26">
        <f t="shared" si="33"/>
        <v>-1005054.3839331298</v>
      </c>
    </row>
    <row r="72" spans="1:3" ht="15.75" customHeight="1">
      <c r="A72" s="6"/>
      <c r="B72" s="6"/>
      <c r="C72" s="6"/>
    </row>
    <row r="73" spans="1:17" ht="15.75" customHeight="1">
      <c r="A73" s="125" t="s">
        <v>50</v>
      </c>
      <c r="B73" s="125"/>
      <c r="C73" s="125"/>
      <c r="Q73" s="3" t="s">
        <v>60</v>
      </c>
    </row>
    <row r="74" spans="1:2" ht="15.75" customHeight="1">
      <c r="A74" s="126" t="s">
        <v>109</v>
      </c>
      <c r="B74" s="126"/>
    </row>
    <row r="75" spans="1:17" ht="64.5" customHeight="1">
      <c r="A75" s="25"/>
      <c r="B75" s="8" t="s">
        <v>48</v>
      </c>
      <c r="C75" s="122" t="s">
        <v>72</v>
      </c>
      <c r="D75" s="123"/>
      <c r="E75" s="124"/>
      <c r="F75" s="127" t="s">
        <v>72</v>
      </c>
      <c r="G75" s="128"/>
      <c r="H75" s="127" t="s">
        <v>72</v>
      </c>
      <c r="I75" s="128"/>
      <c r="J75" s="127" t="s">
        <v>72</v>
      </c>
      <c r="K75" s="128"/>
      <c r="L75" s="117" t="s">
        <v>72</v>
      </c>
      <c r="M75" s="118"/>
      <c r="N75" s="118"/>
      <c r="O75" s="132" t="s">
        <v>72</v>
      </c>
      <c r="P75" s="132"/>
      <c r="Q75" s="133"/>
    </row>
    <row r="76" spans="1:17" ht="29.25" customHeight="1">
      <c r="A76" s="9"/>
      <c r="B76" s="10" t="s">
        <v>69</v>
      </c>
      <c r="C76" s="11">
        <v>42736</v>
      </c>
      <c r="D76" s="11">
        <v>42767</v>
      </c>
      <c r="E76" s="11" t="s">
        <v>73</v>
      </c>
      <c r="F76" s="11">
        <v>42795</v>
      </c>
      <c r="G76" s="11" t="s">
        <v>74</v>
      </c>
      <c r="H76" s="104">
        <v>42826</v>
      </c>
      <c r="I76" s="11" t="s">
        <v>96</v>
      </c>
      <c r="J76" s="109">
        <v>42856</v>
      </c>
      <c r="K76" s="110" t="s">
        <v>99</v>
      </c>
      <c r="L76" s="109">
        <v>42887</v>
      </c>
      <c r="M76" s="110" t="s">
        <v>104</v>
      </c>
      <c r="N76" s="104">
        <v>42917</v>
      </c>
      <c r="O76" s="110" t="s">
        <v>105</v>
      </c>
      <c r="P76" s="104">
        <v>42948</v>
      </c>
      <c r="Q76" s="11" t="s">
        <v>110</v>
      </c>
    </row>
    <row r="77" spans="1:17" ht="15.75" customHeight="1">
      <c r="A77" s="7"/>
      <c r="B77" s="13" t="s">
        <v>0</v>
      </c>
      <c r="C77" s="13" t="s">
        <v>0</v>
      </c>
      <c r="D77" s="7"/>
      <c r="E77" s="13" t="s">
        <v>0</v>
      </c>
      <c r="F77" s="13" t="s">
        <v>0</v>
      </c>
      <c r="G77" s="13" t="s">
        <v>0</v>
      </c>
      <c r="H77" s="13" t="s">
        <v>0</v>
      </c>
      <c r="I77" s="13" t="s">
        <v>0</v>
      </c>
      <c r="J77" s="13" t="s">
        <v>0</v>
      </c>
      <c r="K77" s="13" t="s">
        <v>0</v>
      </c>
      <c r="L77" s="13" t="s">
        <v>0</v>
      </c>
      <c r="M77" s="13" t="s">
        <v>0</v>
      </c>
      <c r="N77" s="13" t="s">
        <v>0</v>
      </c>
      <c r="O77" s="13" t="s">
        <v>0</v>
      </c>
      <c r="P77" s="13" t="s">
        <v>0</v>
      </c>
      <c r="Q77" s="13" t="s">
        <v>0</v>
      </c>
    </row>
    <row r="78" spans="1:17" ht="15.75" customHeight="1">
      <c r="A78" s="12" t="s">
        <v>34</v>
      </c>
      <c r="B78" s="12"/>
      <c r="C78" s="12"/>
      <c r="D78" s="12"/>
      <c r="E78" s="16"/>
      <c r="F78" s="12"/>
      <c r="G78" s="16"/>
      <c r="H78" s="12"/>
      <c r="I78" s="16"/>
      <c r="J78" s="12"/>
      <c r="K78" s="16"/>
      <c r="L78" s="12"/>
      <c r="M78" s="12"/>
      <c r="N78" s="12"/>
      <c r="O78" s="12"/>
      <c r="P78" s="12"/>
      <c r="Q78" s="16"/>
    </row>
    <row r="79" spans="1:17" ht="12">
      <c r="A79" s="12" t="s">
        <v>35</v>
      </c>
      <c r="B79" s="18">
        <v>0</v>
      </c>
      <c r="C79" s="18">
        <f>'[11]Sheet1'!$B$31+'[11]Sheet1'!$B$32</f>
        <v>21691.490178059998</v>
      </c>
      <c r="D79" s="19">
        <f>'[4]Sheet1'!$C$30+'[4]Sheet1'!$C$31</f>
        <v>25951.72546731</v>
      </c>
      <c r="E79" s="20">
        <f aca="true" t="shared" si="34" ref="E79:E86">D79+C79</f>
        <v>47643.21564537</v>
      </c>
      <c r="F79" s="19">
        <f>'[6]Sheet1'!$D$30+'[6]Sheet1'!$D$31</f>
        <v>89737.87984924001</v>
      </c>
      <c r="G79" s="60">
        <f>F79+E79</f>
        <v>137381.09549461002</v>
      </c>
      <c r="H79" s="107">
        <f>'[7]Sheet1'!$F$30+'[7]Sheet1'!$F$31</f>
        <v>51399.542632489996</v>
      </c>
      <c r="I79" s="60">
        <f>G79+H79</f>
        <v>188780.6381271</v>
      </c>
      <c r="J79" s="19">
        <f>'[7]Sheet1'!$G$30+'[7]Sheet1'!$G$31</f>
        <v>104448.89070897</v>
      </c>
      <c r="K79" s="20">
        <f>I79+J79</f>
        <v>293229.52883607</v>
      </c>
      <c r="L79" s="19">
        <f>'[14]Sheet1'!$H$31+'[14]Sheet1'!$H$32</f>
        <v>67043.86100764999</v>
      </c>
      <c r="M79" s="20">
        <f>K79+L79</f>
        <v>360273.38984371995</v>
      </c>
      <c r="N79" s="19">
        <f>'[12]Sheet1'!$C$31+'[12]Sheet1'!$C$32</f>
        <v>114893.43314089</v>
      </c>
      <c r="O79" s="20">
        <f aca="true" t="shared" si="35" ref="M79:Q87">M79+N79</f>
        <v>475166.82298461</v>
      </c>
      <c r="P79" s="19">
        <f>'[15]Sheet1'!$D$31+'[15]Sheet1'!$D$32</f>
        <v>33417.73137001</v>
      </c>
      <c r="Q79" s="20">
        <f t="shared" si="35"/>
        <v>508584.55435462</v>
      </c>
    </row>
    <row r="80" spans="1:17" ht="12">
      <c r="A80" s="12" t="s">
        <v>45</v>
      </c>
      <c r="B80" s="18">
        <f>84000+0+540000+113000</f>
        <v>737000</v>
      </c>
      <c r="C80" s="18">
        <f>'[11]Sheet1'!$B$29</f>
        <v>212272.75566128013</v>
      </c>
      <c r="D80" s="18">
        <f>'[4]Sheet1'!$C$28</f>
        <v>-5874.601854409998</v>
      </c>
      <c r="E80" s="20">
        <f t="shared" si="34"/>
        <v>206398.15380687013</v>
      </c>
      <c r="F80" s="20">
        <f>'[6]Sheet1'!$D$28</f>
        <v>-10073.872721340002</v>
      </c>
      <c r="G80" s="60">
        <f>F80+E80</f>
        <v>196324.28108553012</v>
      </c>
      <c r="H80" s="19">
        <f>'[7]Sheet1'!$F$28</f>
        <v>19414.835862599986</v>
      </c>
      <c r="I80" s="60">
        <f aca="true" t="shared" si="36" ref="I80:I86">G80+H80</f>
        <v>215739.1169481301</v>
      </c>
      <c r="J80" s="19">
        <f>'[7]Sheet1'!$G$28</f>
        <v>-18784.250242439997</v>
      </c>
      <c r="K80" s="20">
        <f aca="true" t="shared" si="37" ref="K80:K87">I80+J80</f>
        <v>196954.8667056901</v>
      </c>
      <c r="L80" s="19">
        <f>'[9]Sheet1'!$H$28+15</f>
        <v>1358.8954836300015</v>
      </c>
      <c r="M80" s="20">
        <f t="shared" si="35"/>
        <v>198313.7621893201</v>
      </c>
      <c r="N80" s="19">
        <f>'[12]Sheet1'!$C$29</f>
        <v>-75454.35403908002</v>
      </c>
      <c r="O80" s="20">
        <f t="shared" si="35"/>
        <v>122859.4081502401</v>
      </c>
      <c r="P80" s="19">
        <f>'[15]Sheet1'!$D$29</f>
        <v>81367.09170847</v>
      </c>
      <c r="Q80" s="20">
        <f t="shared" si="35"/>
        <v>204226.4998587101</v>
      </c>
    </row>
    <row r="81" spans="1:17" ht="12">
      <c r="A81" s="30" t="s">
        <v>36</v>
      </c>
      <c r="B81" s="18">
        <v>0</v>
      </c>
      <c r="C81" s="18">
        <f>'[1]Sheet1'!$B$30</f>
        <v>0</v>
      </c>
      <c r="D81" s="12"/>
      <c r="E81" s="20">
        <f t="shared" si="34"/>
        <v>0</v>
      </c>
      <c r="F81" s="12"/>
      <c r="G81" s="60">
        <f aca="true" t="shared" si="38" ref="G81:G86">F81+E81</f>
        <v>0</v>
      </c>
      <c r="H81" s="60">
        <v>0</v>
      </c>
      <c r="I81" s="105">
        <f t="shared" si="36"/>
        <v>0</v>
      </c>
      <c r="J81" s="105">
        <v>0</v>
      </c>
      <c r="K81" s="20">
        <f t="shared" si="37"/>
        <v>0</v>
      </c>
      <c r="L81" s="105">
        <f>0</f>
        <v>0</v>
      </c>
      <c r="M81" s="20">
        <f t="shared" si="35"/>
        <v>0</v>
      </c>
      <c r="N81" s="20">
        <v>0</v>
      </c>
      <c r="O81" s="20">
        <f t="shared" si="35"/>
        <v>0</v>
      </c>
      <c r="P81" s="12"/>
      <c r="Q81" s="20">
        <f t="shared" si="35"/>
        <v>0</v>
      </c>
    </row>
    <row r="82" spans="1:17" ht="12">
      <c r="A82" s="30" t="s">
        <v>37</v>
      </c>
      <c r="B82" s="18">
        <v>-298698</v>
      </c>
      <c r="C82" s="18">
        <f>'[14]Sheet1'!$B$30</f>
        <v>-11262.384000000002</v>
      </c>
      <c r="D82" s="18">
        <f>'[4]Sheet1'!$C$29</f>
        <v>-7196.1941110200005</v>
      </c>
      <c r="E82" s="20">
        <f t="shared" si="34"/>
        <v>-18458.578111020004</v>
      </c>
      <c r="F82" s="20">
        <f>'[6]Sheet1'!$D$29</f>
        <v>-11600.13930251</v>
      </c>
      <c r="G82" s="60">
        <f t="shared" si="38"/>
        <v>-30058.717413530005</v>
      </c>
      <c r="H82" s="60">
        <f>'[7]Sheet1'!$F$29</f>
        <v>-30414.25818427</v>
      </c>
      <c r="I82" s="60">
        <f t="shared" si="36"/>
        <v>-60472.9755978</v>
      </c>
      <c r="J82" s="19">
        <f>'[9]Sheet1'!$G$29</f>
        <v>-7858.846929020001</v>
      </c>
      <c r="K82" s="20">
        <f t="shared" si="37"/>
        <v>-68331.82252682</v>
      </c>
      <c r="L82" s="20">
        <f>'[11]Sheet1'!$H$30</f>
        <v>-45225.074440740005</v>
      </c>
      <c r="M82" s="20">
        <f t="shared" si="35"/>
        <v>-113556.89696756001</v>
      </c>
      <c r="N82" s="20">
        <f>'[12]Sheet1'!$C$30</f>
        <v>-3712.2799751700004</v>
      </c>
      <c r="O82" s="20">
        <f t="shared" si="35"/>
        <v>-117269.17694273</v>
      </c>
      <c r="P82" s="20">
        <f>'[15]Sheet1'!$D$30</f>
        <v>-14855.379076149999</v>
      </c>
      <c r="Q82" s="20">
        <f t="shared" si="35"/>
        <v>-132124.55601888</v>
      </c>
    </row>
    <row r="83" spans="1:17" ht="12">
      <c r="A83" s="30" t="s">
        <v>66</v>
      </c>
      <c r="B83" s="52">
        <v>0</v>
      </c>
      <c r="C83" s="18">
        <v>0</v>
      </c>
      <c r="D83" s="12"/>
      <c r="E83" s="20">
        <f t="shared" si="34"/>
        <v>0</v>
      </c>
      <c r="F83" s="12"/>
      <c r="G83" s="60">
        <f t="shared" si="38"/>
        <v>0</v>
      </c>
      <c r="H83" s="60">
        <v>0</v>
      </c>
      <c r="I83" s="105">
        <f t="shared" si="36"/>
        <v>0</v>
      </c>
      <c r="J83" s="105">
        <v>0</v>
      </c>
      <c r="K83" s="20">
        <f t="shared" si="37"/>
        <v>0</v>
      </c>
      <c r="L83" s="20">
        <f>'[9]Sheet1'!$H$29</f>
        <v>0</v>
      </c>
      <c r="M83" s="20">
        <f t="shared" si="35"/>
        <v>0</v>
      </c>
      <c r="N83" s="20">
        <v>0</v>
      </c>
      <c r="O83" s="20">
        <f t="shared" si="35"/>
        <v>0</v>
      </c>
      <c r="P83" s="20">
        <v>0</v>
      </c>
      <c r="Q83" s="20">
        <f t="shared" si="35"/>
        <v>0</v>
      </c>
    </row>
    <row r="84" spans="1:17" ht="12">
      <c r="A84" s="30" t="s">
        <v>46</v>
      </c>
      <c r="B84" s="52">
        <v>0</v>
      </c>
      <c r="C84" s="18">
        <v>0</v>
      </c>
      <c r="D84" s="12"/>
      <c r="E84" s="20">
        <f t="shared" si="34"/>
        <v>0</v>
      </c>
      <c r="F84" s="12"/>
      <c r="G84" s="60">
        <f t="shared" si="38"/>
        <v>0</v>
      </c>
      <c r="H84" s="60">
        <v>0</v>
      </c>
      <c r="I84" s="105">
        <f t="shared" si="36"/>
        <v>0</v>
      </c>
      <c r="J84" s="105">
        <v>0</v>
      </c>
      <c r="K84" s="20">
        <f t="shared" si="37"/>
        <v>0</v>
      </c>
      <c r="L84" s="20">
        <f>'[9]Sheet1'!$H$29</f>
        <v>0</v>
      </c>
      <c r="M84" s="20">
        <f t="shared" si="35"/>
        <v>0</v>
      </c>
      <c r="N84" s="20">
        <v>0</v>
      </c>
      <c r="O84" s="20">
        <f t="shared" si="35"/>
        <v>0</v>
      </c>
      <c r="P84" s="20">
        <v>0</v>
      </c>
      <c r="Q84" s="20">
        <f t="shared" si="35"/>
        <v>0</v>
      </c>
    </row>
    <row r="85" spans="1:17" ht="12">
      <c r="A85" s="30" t="s">
        <v>65</v>
      </c>
      <c r="B85" s="52">
        <v>0</v>
      </c>
      <c r="C85" s="18">
        <v>0</v>
      </c>
      <c r="D85" s="12"/>
      <c r="E85" s="20">
        <f t="shared" si="34"/>
        <v>0</v>
      </c>
      <c r="F85" s="12"/>
      <c r="G85" s="60">
        <f t="shared" si="38"/>
        <v>0</v>
      </c>
      <c r="H85" s="60">
        <v>0</v>
      </c>
      <c r="I85" s="105">
        <f t="shared" si="36"/>
        <v>0</v>
      </c>
      <c r="J85" s="105">
        <v>0</v>
      </c>
      <c r="K85" s="20">
        <f t="shared" si="37"/>
        <v>0</v>
      </c>
      <c r="L85" s="20">
        <f>'[9]Sheet1'!$H$29</f>
        <v>0</v>
      </c>
      <c r="M85" s="20">
        <f t="shared" si="35"/>
        <v>0</v>
      </c>
      <c r="N85" s="20">
        <v>0</v>
      </c>
      <c r="O85" s="20">
        <f t="shared" si="35"/>
        <v>0</v>
      </c>
      <c r="P85" s="20">
        <v>0</v>
      </c>
      <c r="Q85" s="20">
        <f t="shared" si="35"/>
        <v>0</v>
      </c>
    </row>
    <row r="86" spans="1:17" ht="12">
      <c r="A86" s="31" t="s">
        <v>59</v>
      </c>
      <c r="B86" s="23">
        <v>0</v>
      </c>
      <c r="C86" s="18">
        <v>0</v>
      </c>
      <c r="D86" s="12"/>
      <c r="E86" s="20">
        <f t="shared" si="34"/>
        <v>0</v>
      </c>
      <c r="F86" s="12"/>
      <c r="G86" s="60">
        <f t="shared" si="38"/>
        <v>0</v>
      </c>
      <c r="H86" s="60">
        <v>0</v>
      </c>
      <c r="I86" s="105">
        <f t="shared" si="36"/>
        <v>0</v>
      </c>
      <c r="J86" s="105">
        <v>0</v>
      </c>
      <c r="K86" s="20">
        <f t="shared" si="37"/>
        <v>0</v>
      </c>
      <c r="L86" s="20">
        <f>'[9]Sheet1'!$H$29</f>
        <v>0</v>
      </c>
      <c r="M86" s="20">
        <f t="shared" si="35"/>
        <v>0</v>
      </c>
      <c r="N86" s="20">
        <v>0</v>
      </c>
      <c r="O86" s="20">
        <f t="shared" si="35"/>
        <v>0</v>
      </c>
      <c r="P86" s="20">
        <v>0</v>
      </c>
      <c r="Q86" s="20">
        <f t="shared" si="35"/>
        <v>0</v>
      </c>
    </row>
    <row r="87" spans="1:17" ht="12">
      <c r="A87" s="53" t="s">
        <v>43</v>
      </c>
      <c r="B87" s="18"/>
      <c r="C87" s="23"/>
      <c r="D87" s="12"/>
      <c r="E87" s="16"/>
      <c r="F87" s="12"/>
      <c r="G87" s="16"/>
      <c r="H87" s="9"/>
      <c r="I87" s="16"/>
      <c r="J87" s="105">
        <v>0</v>
      </c>
      <c r="K87" s="20">
        <f t="shared" si="37"/>
        <v>0</v>
      </c>
      <c r="L87" s="12"/>
      <c r="M87" s="20">
        <v>0</v>
      </c>
      <c r="N87" s="20">
        <v>0</v>
      </c>
      <c r="O87" s="20">
        <f t="shared" si="35"/>
        <v>0</v>
      </c>
      <c r="P87" s="20">
        <v>0</v>
      </c>
      <c r="Q87" s="20">
        <f t="shared" si="35"/>
        <v>0</v>
      </c>
    </row>
    <row r="88" spans="1:17" ht="12">
      <c r="A88" s="34" t="s">
        <v>38</v>
      </c>
      <c r="B88" s="26">
        <f aca="true" t="shared" si="39" ref="B88:Q88">SUM(B79:B86)</f>
        <v>438302</v>
      </c>
      <c r="C88" s="26">
        <f t="shared" si="39"/>
        <v>222701.86183934013</v>
      </c>
      <c r="D88" s="26">
        <f t="shared" si="39"/>
        <v>12880.929501880002</v>
      </c>
      <c r="E88" s="26">
        <f t="shared" si="39"/>
        <v>235582.79134122012</v>
      </c>
      <c r="F88" s="26">
        <f t="shared" si="39"/>
        <v>68063.86782539001</v>
      </c>
      <c r="G88" s="26">
        <f t="shared" si="39"/>
        <v>303646.65916661016</v>
      </c>
      <c r="H88" s="26">
        <f t="shared" si="39"/>
        <v>40400.120310819984</v>
      </c>
      <c r="I88" s="26">
        <f t="shared" si="39"/>
        <v>344046.77947743016</v>
      </c>
      <c r="J88" s="26">
        <f t="shared" si="39"/>
        <v>77805.79353750999</v>
      </c>
      <c r="K88" s="26">
        <f t="shared" si="39"/>
        <v>421852.5730149401</v>
      </c>
      <c r="L88" s="26">
        <f t="shared" si="39"/>
        <v>23177.68205053998</v>
      </c>
      <c r="M88" s="26">
        <f t="shared" si="39"/>
        <v>445030.2550654801</v>
      </c>
      <c r="N88" s="26">
        <f>SUM(N79:N87)</f>
        <v>35726.799126639984</v>
      </c>
      <c r="O88" s="26">
        <f t="shared" si="39"/>
        <v>480757.0541921201</v>
      </c>
      <c r="P88" s="26">
        <f>SUM(P79:P87)</f>
        <v>99929.44400233</v>
      </c>
      <c r="Q88" s="26">
        <f t="shared" si="39"/>
        <v>580686.4981944502</v>
      </c>
    </row>
    <row r="89" spans="1:17" ht="15.75" customHeight="1">
      <c r="A89" s="54"/>
      <c r="B89" s="50"/>
      <c r="C89" s="44"/>
      <c r="H89" s="43"/>
      <c r="I89" s="44"/>
      <c r="J89" s="43"/>
      <c r="K89" s="44"/>
      <c r="L89" s="7"/>
      <c r="M89" s="7"/>
      <c r="N89" s="25"/>
      <c r="O89" s="25"/>
      <c r="P89" s="25"/>
      <c r="Q89" s="44"/>
    </row>
    <row r="90" spans="1:17" ht="24">
      <c r="A90" s="55" t="s">
        <v>57</v>
      </c>
      <c r="B90" s="26">
        <f aca="true" t="shared" si="40" ref="B90:Q90">B71+B88</f>
        <v>380000</v>
      </c>
      <c r="C90" s="26">
        <f t="shared" si="40"/>
        <v>244641.12524467002</v>
      </c>
      <c r="D90" s="26">
        <f t="shared" si="40"/>
        <v>-146319.63786151994</v>
      </c>
      <c r="E90" s="26">
        <f t="shared" si="40"/>
        <v>98321.48738315006</v>
      </c>
      <c r="F90" s="26">
        <f t="shared" si="40"/>
        <v>-188553.13720859995</v>
      </c>
      <c r="G90" s="26">
        <f t="shared" si="40"/>
        <v>-90231.64982544968</v>
      </c>
      <c r="H90" s="26">
        <f t="shared" si="40"/>
        <v>-96233.66875562981</v>
      </c>
      <c r="I90" s="26">
        <f t="shared" si="40"/>
        <v>-186465.31858107948</v>
      </c>
      <c r="J90" s="26">
        <f t="shared" si="40"/>
        <v>-37761.54846602994</v>
      </c>
      <c r="K90" s="26">
        <f t="shared" si="40"/>
        <v>-224226.86704710935</v>
      </c>
      <c r="L90" s="26">
        <f t="shared" si="40"/>
        <v>84737.55992364998</v>
      </c>
      <c r="M90" s="26">
        <f t="shared" si="40"/>
        <v>-139489.30712346005</v>
      </c>
      <c r="N90" s="26">
        <f t="shared" si="40"/>
        <v>-192599.68534557</v>
      </c>
      <c r="O90" s="26">
        <f t="shared" si="40"/>
        <v>-332088.9924690294</v>
      </c>
      <c r="P90" s="26">
        <f t="shared" si="40"/>
        <v>-92278.89326964995</v>
      </c>
      <c r="Q90" s="26">
        <f t="shared" si="40"/>
        <v>-424367.8857386797</v>
      </c>
    </row>
    <row r="91" ht="12" hidden="1">
      <c r="C91" s="36">
        <v>15139</v>
      </c>
    </row>
    <row r="92" ht="12" hidden="1">
      <c r="C92" s="36">
        <f>C91-C90</f>
        <v>-229502.12524467002</v>
      </c>
    </row>
    <row r="93" spans="1:3" ht="12" hidden="1">
      <c r="A93" s="55" t="s">
        <v>44</v>
      </c>
      <c r="B93" s="9"/>
      <c r="C93" s="36">
        <v>0</v>
      </c>
    </row>
    <row r="94" spans="1:3" ht="12" hidden="1">
      <c r="A94" s="55" t="s">
        <v>44</v>
      </c>
      <c r="B94" s="26"/>
      <c r="C94" s="56">
        <f>C90+C93</f>
        <v>244641.12524467002</v>
      </c>
    </row>
    <row r="95" ht="12" hidden="1">
      <c r="C95" s="38">
        <f>C34-C50+C69+C88</f>
        <v>244641.12524467002</v>
      </c>
    </row>
    <row r="96" ht="12" hidden="1">
      <c r="C96" s="38">
        <f>C90-C95</f>
        <v>0</v>
      </c>
    </row>
    <row r="97" spans="1:2" ht="12" hidden="1">
      <c r="A97" s="17" t="s">
        <v>2</v>
      </c>
      <c r="B97" s="1" t="e">
        <f>#REF!</f>
        <v>#REF!</v>
      </c>
    </row>
    <row r="98" spans="1:2" ht="12" hidden="1">
      <c r="A98" s="17" t="s">
        <v>3</v>
      </c>
      <c r="B98" s="1" t="e">
        <f>#REF!</f>
        <v>#REF!</v>
      </c>
    </row>
    <row r="99" spans="1:2" ht="12" hidden="1">
      <c r="A99" s="17" t="s">
        <v>4</v>
      </c>
      <c r="B99" s="1" t="e">
        <f>#REF!</f>
        <v>#REF!</v>
      </c>
    </row>
    <row r="100" spans="1:2" ht="12" hidden="1">
      <c r="A100" s="17" t="s">
        <v>5</v>
      </c>
      <c r="B100" s="1" t="e">
        <f>#REF!</f>
        <v>#REF!</v>
      </c>
    </row>
    <row r="101" spans="1:2" ht="12" hidden="1">
      <c r="A101" s="17" t="s">
        <v>6</v>
      </c>
      <c r="B101" s="1" t="e">
        <f>#REF!</f>
        <v>#REF!</v>
      </c>
    </row>
    <row r="102" spans="1:2" ht="12" hidden="1">
      <c r="A102" s="17" t="s">
        <v>7</v>
      </c>
      <c r="B102" s="1" t="e">
        <f>#REF!</f>
        <v>#REF!</v>
      </c>
    </row>
    <row r="103" ht="12" hidden="1"/>
    <row r="104" ht="12" hidden="1"/>
    <row r="105" ht="12" hidden="1"/>
    <row r="106" spans="1:2" ht="12" hidden="1">
      <c r="A106" s="17" t="s">
        <v>13</v>
      </c>
      <c r="B106" s="57" t="e">
        <f>#REF!</f>
        <v>#REF!</v>
      </c>
    </row>
    <row r="107" spans="1:2" ht="12" hidden="1">
      <c r="A107" s="17" t="s">
        <v>14</v>
      </c>
      <c r="B107" s="57" t="e">
        <f>#REF!</f>
        <v>#REF!</v>
      </c>
    </row>
    <row r="108" spans="1:2" ht="12" hidden="1">
      <c r="A108" s="17" t="s">
        <v>15</v>
      </c>
      <c r="B108" s="57" t="e">
        <f>#REF!</f>
        <v>#REF!</v>
      </c>
    </row>
    <row r="109" spans="1:2" ht="12" hidden="1">
      <c r="A109" s="41" t="s">
        <v>16</v>
      </c>
      <c r="B109" s="57" t="e">
        <f>#REF!</f>
        <v>#REF!</v>
      </c>
    </row>
    <row r="110" spans="1:2" ht="12" hidden="1">
      <c r="A110" s="41" t="s">
        <v>17</v>
      </c>
      <c r="B110" s="57" t="e">
        <f>#REF!</f>
        <v>#REF!</v>
      </c>
    </row>
    <row r="111" spans="1:2" ht="12" hidden="1">
      <c r="A111" s="41" t="s">
        <v>18</v>
      </c>
      <c r="B111" s="57" t="e">
        <f>#REF!</f>
        <v>#REF!</v>
      </c>
    </row>
    <row r="112" spans="1:2" ht="12" hidden="1">
      <c r="A112" s="17" t="s">
        <v>19</v>
      </c>
      <c r="B112" s="57" t="e">
        <f>#REF!</f>
        <v>#REF!</v>
      </c>
    </row>
    <row r="113" ht="12" hidden="1"/>
    <row r="114" spans="1:3" ht="12" hidden="1">
      <c r="A114" s="58" t="s">
        <v>39</v>
      </c>
      <c r="B114" s="1">
        <f>C90</f>
        <v>244641.12524467002</v>
      </c>
      <c r="C114" s="36"/>
    </row>
    <row r="115" spans="1:2" ht="12" hidden="1">
      <c r="A115" s="58" t="s">
        <v>41</v>
      </c>
      <c r="B115" s="1" t="e">
        <f>#REF!</f>
        <v>#REF!</v>
      </c>
    </row>
    <row r="116" spans="1:2" ht="12" hidden="1">
      <c r="A116" s="58" t="s">
        <v>40</v>
      </c>
      <c r="B116" s="1" t="e">
        <f>#REF!</f>
        <v>#REF!</v>
      </c>
    </row>
    <row r="117" ht="0.75" customHeight="1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>
      <c r="B130" s="3" t="s">
        <v>60</v>
      </c>
    </row>
    <row r="134" ht="12">
      <c r="A134" s="3" t="s">
        <v>49</v>
      </c>
    </row>
    <row r="136" spans="1:217" ht="12">
      <c r="A136" s="59" t="s">
        <v>106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</row>
    <row r="137" spans="1:217" ht="12">
      <c r="A137" s="59" t="s">
        <v>62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</row>
  </sheetData>
  <sheetProtection password="E085" sheet="1" formatCells="0" formatColumns="0" formatRows="0" insertColumns="0" insertRows="0" insertHyperlinks="0" deleteColumns="0" deleteRows="0" sort="0" autoFilter="0" pivotTables="0"/>
  <mergeCells count="19">
    <mergeCell ref="O8:Q8"/>
    <mergeCell ref="O38:Q38"/>
    <mergeCell ref="O75:Q75"/>
    <mergeCell ref="J75:K75"/>
    <mergeCell ref="H75:I75"/>
    <mergeCell ref="F38:G38"/>
    <mergeCell ref="J38:K38"/>
    <mergeCell ref="A3:C3"/>
    <mergeCell ref="A5:C5"/>
    <mergeCell ref="A6:B6"/>
    <mergeCell ref="A36:C36"/>
    <mergeCell ref="A37:B37"/>
    <mergeCell ref="G8:K8"/>
    <mergeCell ref="C38:E38"/>
    <mergeCell ref="A73:C73"/>
    <mergeCell ref="A74:B74"/>
    <mergeCell ref="C75:E75"/>
    <mergeCell ref="H38:I38"/>
    <mergeCell ref="F75:G7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7"/>
  <sheetViews>
    <sheetView zoomScale="120" zoomScaleNormal="120" zoomScalePageLayoutView="0" workbookViewId="0" topLeftCell="A7">
      <selection activeCell="AA11" sqref="AA11"/>
    </sheetView>
  </sheetViews>
  <sheetFormatPr defaultColWidth="28.140625" defaultRowHeight="12.75"/>
  <cols>
    <col min="1" max="1" width="26.57421875" style="63" customWidth="1"/>
    <col min="2" max="2" width="8.8515625" style="63" hidden="1" customWidth="1"/>
    <col min="3" max="3" width="13.00390625" style="63" hidden="1" customWidth="1"/>
    <col min="4" max="4" width="7.28125" style="63" hidden="1" customWidth="1"/>
    <col min="5" max="5" width="7.7109375" style="63" hidden="1" customWidth="1"/>
    <col min="6" max="6" width="7.28125" style="63" hidden="1" customWidth="1"/>
    <col min="7" max="7" width="10.00390625" style="63" hidden="1" customWidth="1"/>
    <col min="8" max="8" width="7.8515625" style="63" hidden="1" customWidth="1"/>
    <col min="9" max="9" width="8.421875" style="63" hidden="1" customWidth="1"/>
    <col min="10" max="10" width="9.00390625" style="63" hidden="1" customWidth="1"/>
    <col min="11" max="11" width="10.140625" style="63" hidden="1" customWidth="1"/>
    <col min="12" max="12" width="10.421875" style="63" hidden="1" customWidth="1"/>
    <col min="13" max="13" width="11.421875" style="63" hidden="1" customWidth="1"/>
    <col min="14" max="14" width="9.28125" style="63" hidden="1" customWidth="1"/>
    <col min="15" max="15" width="13.140625" style="63" hidden="1" customWidth="1"/>
    <col min="16" max="16" width="12.8515625" style="63" hidden="1" customWidth="1"/>
    <col min="17" max="17" width="10.57421875" style="63" hidden="1" customWidth="1"/>
    <col min="18" max="18" width="10.00390625" style="63" hidden="1" customWidth="1"/>
    <col min="19" max="19" width="14.00390625" style="63" hidden="1" customWidth="1"/>
    <col min="20" max="20" width="13.7109375" style="63" hidden="1" customWidth="1"/>
    <col min="21" max="21" width="11.421875" style="63" hidden="1" customWidth="1"/>
    <col min="22" max="22" width="10.28125" style="63" hidden="1" customWidth="1"/>
    <col min="23" max="23" width="8.28125" style="63" hidden="1" customWidth="1"/>
    <col min="24" max="24" width="9.00390625" style="63" hidden="1" customWidth="1"/>
    <col min="25" max="25" width="14.57421875" style="63" hidden="1" customWidth="1"/>
    <col min="26" max="26" width="11.421875" style="63" customWidth="1"/>
    <col min="27" max="27" width="14.57421875" style="63" customWidth="1"/>
    <col min="28" max="28" width="14.7109375" style="63" customWidth="1"/>
    <col min="29" max="29" width="11.8515625" style="63" customWidth="1"/>
    <col min="30" max="30" width="10.7109375" style="63" customWidth="1"/>
    <col min="31" max="16384" width="28.140625" style="63" customWidth="1"/>
  </cols>
  <sheetData>
    <row r="1" ht="11.25">
      <c r="A1" s="62" t="s">
        <v>75</v>
      </c>
    </row>
    <row r="2" ht="11.25">
      <c r="A2" s="64" t="s">
        <v>111</v>
      </c>
    </row>
    <row r="5" spans="3:29" ht="11.25">
      <c r="C5" s="137">
        <v>2017</v>
      </c>
      <c r="D5" s="137"/>
      <c r="E5" s="137"/>
      <c r="G5" s="137">
        <v>2017</v>
      </c>
      <c r="H5" s="137"/>
      <c r="I5" s="137"/>
      <c r="K5" s="137">
        <v>2017</v>
      </c>
      <c r="L5" s="137"/>
      <c r="M5" s="137"/>
      <c r="O5" s="137">
        <v>2017</v>
      </c>
      <c r="P5" s="137"/>
      <c r="Q5" s="137"/>
      <c r="S5" s="135">
        <v>2017</v>
      </c>
      <c r="T5" s="135"/>
      <c r="U5" s="135"/>
      <c r="W5" s="135">
        <v>2017</v>
      </c>
      <c r="X5" s="135"/>
      <c r="Y5" s="135"/>
      <c r="AA5" s="135">
        <v>2017</v>
      </c>
      <c r="AB5" s="135"/>
      <c r="AC5" s="135"/>
    </row>
    <row r="6" spans="3:29" ht="12.75" customHeight="1">
      <c r="C6" s="137" t="s">
        <v>76</v>
      </c>
      <c r="D6" s="138"/>
      <c r="E6" s="138"/>
      <c r="G6" s="137" t="s">
        <v>77</v>
      </c>
      <c r="H6" s="138"/>
      <c r="I6" s="138"/>
      <c r="K6" s="137" t="s">
        <v>97</v>
      </c>
      <c r="L6" s="138"/>
      <c r="M6" s="138"/>
      <c r="O6" s="137" t="s">
        <v>100</v>
      </c>
      <c r="P6" s="138"/>
      <c r="Q6" s="138"/>
      <c r="S6" s="135" t="s">
        <v>102</v>
      </c>
      <c r="T6" s="136"/>
      <c r="U6" s="136"/>
      <c r="W6" s="135" t="s">
        <v>107</v>
      </c>
      <c r="X6" s="136"/>
      <c r="Y6" s="136"/>
      <c r="AA6" s="135" t="s">
        <v>112</v>
      </c>
      <c r="AB6" s="136"/>
      <c r="AC6" s="136"/>
    </row>
    <row r="7" spans="2:30" ht="54.75" customHeight="1">
      <c r="B7" s="66">
        <v>42736</v>
      </c>
      <c r="C7" s="67" t="s">
        <v>78</v>
      </c>
      <c r="D7" s="67" t="s">
        <v>79</v>
      </c>
      <c r="E7" s="68" t="s">
        <v>80</v>
      </c>
      <c r="F7" s="69" t="s">
        <v>81</v>
      </c>
      <c r="G7" s="67" t="s">
        <v>78</v>
      </c>
      <c r="H7" s="67" t="s">
        <v>79</v>
      </c>
      <c r="I7" s="68" t="s">
        <v>80</v>
      </c>
      <c r="J7" s="69" t="s">
        <v>82</v>
      </c>
      <c r="K7" s="67" t="s">
        <v>78</v>
      </c>
      <c r="L7" s="67" t="s">
        <v>79</v>
      </c>
      <c r="M7" s="68" t="s">
        <v>80</v>
      </c>
      <c r="N7" s="69" t="s">
        <v>98</v>
      </c>
      <c r="O7" s="67" t="s">
        <v>78</v>
      </c>
      <c r="P7" s="67" t="s">
        <v>79</v>
      </c>
      <c r="Q7" s="68" t="s">
        <v>80</v>
      </c>
      <c r="R7" s="69" t="s">
        <v>101</v>
      </c>
      <c r="S7" s="67" t="s">
        <v>78</v>
      </c>
      <c r="T7" s="67" t="s">
        <v>79</v>
      </c>
      <c r="U7" s="68" t="s">
        <v>80</v>
      </c>
      <c r="V7" s="69" t="s">
        <v>103</v>
      </c>
      <c r="W7" s="67" t="s">
        <v>78</v>
      </c>
      <c r="X7" s="67" t="s">
        <v>79</v>
      </c>
      <c r="Y7" s="68" t="s">
        <v>80</v>
      </c>
      <c r="Z7" s="69" t="s">
        <v>108</v>
      </c>
      <c r="AA7" s="67" t="s">
        <v>78</v>
      </c>
      <c r="AB7" s="67" t="s">
        <v>79</v>
      </c>
      <c r="AC7" s="68" t="s">
        <v>80</v>
      </c>
      <c r="AD7" s="69" t="s">
        <v>113</v>
      </c>
    </row>
    <row r="8" spans="2:56" ht="11.25">
      <c r="B8" s="65" t="s">
        <v>0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5" t="s">
        <v>0</v>
      </c>
      <c r="I8" s="65" t="s">
        <v>0</v>
      </c>
      <c r="J8" s="65" t="s">
        <v>0</v>
      </c>
      <c r="K8" s="65" t="s">
        <v>0</v>
      </c>
      <c r="L8" s="65" t="s">
        <v>0</v>
      </c>
      <c r="M8" s="65" t="s">
        <v>0</v>
      </c>
      <c r="N8" s="65" t="s">
        <v>0</v>
      </c>
      <c r="O8" s="65" t="s">
        <v>0</v>
      </c>
      <c r="P8" s="65" t="s">
        <v>0</v>
      </c>
      <c r="Q8" s="65" t="s">
        <v>0</v>
      </c>
      <c r="R8" s="65" t="s">
        <v>0</v>
      </c>
      <c r="S8" s="65" t="s">
        <v>0</v>
      </c>
      <c r="T8" s="65" t="s">
        <v>0</v>
      </c>
      <c r="U8" s="65" t="s">
        <v>0</v>
      </c>
      <c r="V8" s="65" t="s">
        <v>0</v>
      </c>
      <c r="W8" s="65" t="s">
        <v>0</v>
      </c>
      <c r="X8" s="65" t="s">
        <v>0</v>
      </c>
      <c r="Y8" s="65" t="s">
        <v>0</v>
      </c>
      <c r="Z8" s="65" t="s">
        <v>0</v>
      </c>
      <c r="AA8" s="65" t="s">
        <v>0</v>
      </c>
      <c r="AB8" s="65" t="s">
        <v>0</v>
      </c>
      <c r="AC8" s="65" t="s">
        <v>0</v>
      </c>
      <c r="AD8" s="65" t="s">
        <v>0</v>
      </c>
      <c r="AE8" s="71"/>
      <c r="AF8" s="71"/>
      <c r="AG8" s="70"/>
      <c r="AH8" s="70"/>
      <c r="AI8" s="70"/>
      <c r="AJ8" s="70"/>
      <c r="AK8" s="70"/>
      <c r="AL8" s="70"/>
      <c r="AM8" s="70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 t="s">
        <v>0</v>
      </c>
      <c r="BB8" s="74" t="s">
        <v>0</v>
      </c>
      <c r="BC8" s="75" t="s">
        <v>0</v>
      </c>
      <c r="BD8" s="76" t="s">
        <v>0</v>
      </c>
    </row>
    <row r="9" spans="1:30" ht="11.25">
      <c r="A9" s="77" t="s">
        <v>83</v>
      </c>
      <c r="B9" s="78"/>
      <c r="C9" s="78"/>
      <c r="D9" s="78"/>
      <c r="F9" s="78"/>
      <c r="G9" s="78"/>
      <c r="H9" s="78"/>
      <c r="I9" s="78"/>
      <c r="J9" s="79"/>
      <c r="K9" s="78"/>
      <c r="L9" s="78"/>
      <c r="M9" s="78"/>
      <c r="N9" s="78"/>
      <c r="O9" s="78"/>
      <c r="P9" s="78"/>
      <c r="Q9" s="78"/>
      <c r="R9" s="79"/>
      <c r="S9" s="78"/>
      <c r="T9" s="78"/>
      <c r="U9" s="78"/>
      <c r="V9" s="79"/>
      <c r="W9" s="78"/>
      <c r="X9" s="78"/>
      <c r="Y9" s="78"/>
      <c r="Z9" s="78"/>
      <c r="AA9" s="78"/>
      <c r="AB9" s="78"/>
      <c r="AC9" s="89"/>
      <c r="AD9" s="78"/>
    </row>
    <row r="10" spans="1:30" ht="11.25">
      <c r="A10" s="80" t="s">
        <v>84</v>
      </c>
      <c r="B10" s="81"/>
      <c r="C10" s="81"/>
      <c r="D10" s="81"/>
      <c r="F10" s="81"/>
      <c r="G10" s="81"/>
      <c r="H10" s="81"/>
      <c r="I10" s="81"/>
      <c r="J10" s="82"/>
      <c r="K10" s="81"/>
      <c r="L10" s="81"/>
      <c r="M10" s="81"/>
      <c r="N10" s="81"/>
      <c r="O10" s="81"/>
      <c r="P10" s="81"/>
      <c r="Q10" s="81"/>
      <c r="R10" s="82"/>
      <c r="S10" s="81"/>
      <c r="T10" s="81"/>
      <c r="U10" s="81"/>
      <c r="V10" s="82"/>
      <c r="W10" s="81"/>
      <c r="X10" s="81"/>
      <c r="Y10" s="81"/>
      <c r="Z10" s="81"/>
      <c r="AA10" s="81"/>
      <c r="AB10" s="81"/>
      <c r="AC10" s="89"/>
      <c r="AD10" s="81"/>
    </row>
    <row r="11" spans="1:30" ht="11.25">
      <c r="A11" s="82"/>
      <c r="B11" s="81"/>
      <c r="C11" s="81"/>
      <c r="D11" s="81"/>
      <c r="F11" s="81"/>
      <c r="G11" s="81"/>
      <c r="H11" s="81"/>
      <c r="I11" s="81"/>
      <c r="J11" s="82"/>
      <c r="K11" s="81"/>
      <c r="L11" s="81"/>
      <c r="M11" s="81"/>
      <c r="N11" s="81"/>
      <c r="O11" s="81"/>
      <c r="P11" s="81"/>
      <c r="Q11" s="81"/>
      <c r="R11" s="82"/>
      <c r="S11" s="81"/>
      <c r="T11" s="81"/>
      <c r="U11" s="81"/>
      <c r="V11" s="82"/>
      <c r="W11" s="81"/>
      <c r="X11" s="81"/>
      <c r="Y11" s="81"/>
      <c r="Z11" s="81"/>
      <c r="AA11" s="81"/>
      <c r="AB11" s="81"/>
      <c r="AC11" s="89"/>
      <c r="AD11" s="81"/>
    </row>
    <row r="12" spans="1:30" ht="11.25">
      <c r="A12" s="83" t="s">
        <v>85</v>
      </c>
      <c r="B12" s="84">
        <f>34546105849/1000000</f>
        <v>34546.105849</v>
      </c>
      <c r="C12" s="85">
        <f>30757031974/1000000</f>
        <v>30757.031974</v>
      </c>
      <c r="D12" s="86">
        <v>0</v>
      </c>
      <c r="E12" s="87">
        <v>0</v>
      </c>
      <c r="F12" s="85">
        <f>B12+C12+D12+E12</f>
        <v>65303.137823</v>
      </c>
      <c r="G12" s="88">
        <f>30982268460/1000000</f>
        <v>30982.26846</v>
      </c>
      <c r="H12" s="81">
        <f>250000000/1000000</f>
        <v>250</v>
      </c>
      <c r="I12" s="81">
        <f>0</f>
        <v>0</v>
      </c>
      <c r="J12" s="89">
        <f>F12+G12+H12+I12</f>
        <v>96535.40628299999</v>
      </c>
      <c r="K12" s="108">
        <f>31409577492/1000000</f>
        <v>31409.577492</v>
      </c>
      <c r="L12" s="89">
        <f>159793047.36/1000000</f>
        <v>159.79304736</v>
      </c>
      <c r="M12" s="89">
        <v>0</v>
      </c>
      <c r="N12" s="89">
        <f>J12+K12+L12+M12</f>
        <v>128104.77682235999</v>
      </c>
      <c r="O12" s="89">
        <f>35546872488/1000000</f>
        <v>35546.872488</v>
      </c>
      <c r="P12" s="89">
        <f>228531502/1000000</f>
        <v>228.531502</v>
      </c>
      <c r="Q12" s="89">
        <v>0</v>
      </c>
      <c r="R12" s="89">
        <f>N12+O12+P12+Q12</f>
        <v>163880.18081236</v>
      </c>
      <c r="S12" s="89">
        <f>32616392027/1000000</f>
        <v>32616.392027</v>
      </c>
      <c r="T12" s="89">
        <f>710811234.64/1000000</f>
        <v>710.81123464</v>
      </c>
      <c r="U12" s="89">
        <f>6295522513/1000000</f>
        <v>6295.522513</v>
      </c>
      <c r="V12" s="89">
        <f>R12+S12+T12+U12</f>
        <v>203502.90658699998</v>
      </c>
      <c r="W12" s="89">
        <f>33188023433/1000000</f>
        <v>33188.023433</v>
      </c>
      <c r="X12" s="89">
        <f>2620220637.1/1000000</f>
        <v>2620.2206370999997</v>
      </c>
      <c r="Y12" s="89">
        <f>1035892090/1000000</f>
        <v>1035.89209</v>
      </c>
      <c r="Z12" s="89">
        <f>V12+W12+X12+Y12</f>
        <v>240347.04274709997</v>
      </c>
      <c r="AA12" s="89">
        <f>29459554604/1000000</f>
        <v>29459.554604</v>
      </c>
      <c r="AB12" s="89">
        <f>134355000/1000000</f>
        <v>134.355</v>
      </c>
      <c r="AC12" s="89">
        <v>0</v>
      </c>
      <c r="AD12" s="89">
        <f>Z12+AA12+AB12+AC12</f>
        <v>269940.9523510999</v>
      </c>
    </row>
    <row r="13" spans="1:30" ht="11.25">
      <c r="A13" s="83"/>
      <c r="B13" s="90"/>
      <c r="C13" s="86"/>
      <c r="D13" s="86"/>
      <c r="E13" s="87"/>
      <c r="F13" s="86"/>
      <c r="G13" s="81"/>
      <c r="H13" s="81"/>
      <c r="I13" s="81"/>
      <c r="J13" s="89"/>
      <c r="K13" s="81"/>
      <c r="L13" s="81"/>
      <c r="M13" s="81"/>
      <c r="N13" s="89"/>
      <c r="O13" s="81"/>
      <c r="P13" s="81"/>
      <c r="Q13" s="81"/>
      <c r="R13" s="89"/>
      <c r="S13" s="89"/>
      <c r="T13" s="81"/>
      <c r="U13" s="81"/>
      <c r="V13" s="89"/>
      <c r="W13" s="89"/>
      <c r="X13" s="89"/>
      <c r="Y13" s="81"/>
      <c r="Z13" s="89"/>
      <c r="AA13" s="81"/>
      <c r="AB13" s="89"/>
      <c r="AC13" s="89"/>
      <c r="AD13" s="89"/>
    </row>
    <row r="14" spans="1:30" ht="11.25">
      <c r="A14" s="83" t="s">
        <v>86</v>
      </c>
      <c r="B14" s="84">
        <f>26574631354.76/1000000</f>
        <v>26574.631354759997</v>
      </c>
      <c r="C14" s="85">
        <f>12241171397/1000000</f>
        <v>12241.171397</v>
      </c>
      <c r="D14" s="85">
        <f>10501892472.02/1000000</f>
        <v>10501.892472020001</v>
      </c>
      <c r="E14" s="87">
        <v>0</v>
      </c>
      <c r="F14" s="85">
        <f>B14+C14+D14+E14</f>
        <v>49317.69522378</v>
      </c>
      <c r="G14" s="88">
        <f>13812722714/1000000</f>
        <v>13812.722714</v>
      </c>
      <c r="H14" s="88">
        <f>117153080/1000000</f>
        <v>117.15308</v>
      </c>
      <c r="I14" s="81">
        <f>0</f>
        <v>0</v>
      </c>
      <c r="J14" s="89">
        <f aca="true" t="shared" si="0" ref="J14:J30">F14+G14+H14+I14</f>
        <v>63247.57101778</v>
      </c>
      <c r="K14" s="108">
        <f>15138562318/1000000</f>
        <v>15138.562318</v>
      </c>
      <c r="L14" s="89">
        <f>28955881360.1/1000000</f>
        <v>28955.8813601</v>
      </c>
      <c r="M14" s="89">
        <f>6389700000/1000000</f>
        <v>6389.7</v>
      </c>
      <c r="N14" s="89">
        <f aca="true" t="shared" si="1" ref="N14:N30">J14+K14+L14+M14</f>
        <v>113731.71469588</v>
      </c>
      <c r="O14" s="89">
        <f>13826130143/1000000</f>
        <v>13826.130143</v>
      </c>
      <c r="P14" s="89">
        <f>6363849307.09/1000000</f>
        <v>6363.84930709</v>
      </c>
      <c r="Q14" s="89">
        <f>276721016/1000000</f>
        <v>276.721016</v>
      </c>
      <c r="R14" s="89">
        <f aca="true" t="shared" si="2" ref="R14:R30">N14+O14+P14+Q14</f>
        <v>134198.41516196998</v>
      </c>
      <c r="S14" s="89">
        <f>13871437541/1000000</f>
        <v>13871.437541</v>
      </c>
      <c r="T14" s="89">
        <f>471404436.7/1000000</f>
        <v>471.40443669999996</v>
      </c>
      <c r="U14" s="89">
        <v>0</v>
      </c>
      <c r="V14" s="89">
        <f aca="true" t="shared" si="3" ref="V14:V30">R14+S14+T14+U14</f>
        <v>148541.25713966996</v>
      </c>
      <c r="W14" s="89">
        <f>13203731246/1000000</f>
        <v>13203.731246</v>
      </c>
      <c r="X14" s="89">
        <f>50493868870.64/1000000</f>
        <v>50493.86887064</v>
      </c>
      <c r="Y14" s="89">
        <f>501050000/1000000</f>
        <v>501.05</v>
      </c>
      <c r="Z14" s="89">
        <f aca="true" t="shared" si="4" ref="Z14:Z30">V14+W14+X14+Y14</f>
        <v>212739.90725630996</v>
      </c>
      <c r="AA14" s="89">
        <f>13781096010/1000000</f>
        <v>13781.09601</v>
      </c>
      <c r="AB14" s="89">
        <f>11841910464.15/1000000</f>
        <v>11841.91046415</v>
      </c>
      <c r="AC14" s="89">
        <v>0</v>
      </c>
      <c r="AD14" s="89">
        <f aca="true" t="shared" si="5" ref="AD14:AD30">Z14+AA14+AB14+AC14</f>
        <v>238362.91373045996</v>
      </c>
    </row>
    <row r="15" spans="1:30" ht="11.25">
      <c r="A15" s="83"/>
      <c r="B15" s="86"/>
      <c r="C15" s="86"/>
      <c r="D15" s="86"/>
      <c r="E15" s="87"/>
      <c r="F15" s="86"/>
      <c r="G15" s="81"/>
      <c r="H15" s="81"/>
      <c r="I15" s="81"/>
      <c r="J15" s="89"/>
      <c r="K15" s="81"/>
      <c r="L15" s="81"/>
      <c r="M15" s="81"/>
      <c r="N15" s="89"/>
      <c r="O15" s="81"/>
      <c r="P15" s="81"/>
      <c r="Q15" s="81"/>
      <c r="R15" s="89"/>
      <c r="S15" s="81"/>
      <c r="T15" s="81"/>
      <c r="U15" s="89"/>
      <c r="V15" s="89"/>
      <c r="W15" s="89"/>
      <c r="X15" s="89"/>
      <c r="Y15" s="81"/>
      <c r="Z15" s="89"/>
      <c r="AA15" s="81"/>
      <c r="AB15" s="89"/>
      <c r="AC15" s="89"/>
      <c r="AD15" s="89"/>
    </row>
    <row r="16" spans="1:30" ht="11.25">
      <c r="A16" s="83" t="s">
        <v>87</v>
      </c>
      <c r="B16" s="91">
        <f>512448593/1000000</f>
        <v>512.448593</v>
      </c>
      <c r="C16" s="85">
        <f>551305410/1000000</f>
        <v>551.30541</v>
      </c>
      <c r="D16" s="86">
        <v>0</v>
      </c>
      <c r="E16" s="87">
        <v>0</v>
      </c>
      <c r="F16" s="85">
        <f>B16+C16+D16+E16</f>
        <v>1063.754003</v>
      </c>
      <c r="G16" s="88">
        <f>598946357/1000000</f>
        <v>598.946357</v>
      </c>
      <c r="H16" s="88">
        <f>230280000/1000000</f>
        <v>230.28</v>
      </c>
      <c r="I16" s="81">
        <f>0</f>
        <v>0</v>
      </c>
      <c r="J16" s="89">
        <f t="shared" si="0"/>
        <v>1892.98036</v>
      </c>
      <c r="K16" s="108">
        <f>637102757/1000000</f>
        <v>637.102757</v>
      </c>
      <c r="L16" s="89">
        <f>0</f>
        <v>0</v>
      </c>
      <c r="M16" s="89">
        <v>0</v>
      </c>
      <c r="N16" s="89">
        <f t="shared" si="1"/>
        <v>2530.083117</v>
      </c>
      <c r="O16" s="89">
        <f>632875694/1000000</f>
        <v>632.875694</v>
      </c>
      <c r="P16" s="89">
        <v>0</v>
      </c>
      <c r="Q16" s="89">
        <v>0</v>
      </c>
      <c r="R16" s="89">
        <f>N16+O16+P16+Q16</f>
        <v>3162.958811</v>
      </c>
      <c r="S16" s="89">
        <f>527908548/1000000</f>
        <v>527.908548</v>
      </c>
      <c r="T16" s="89">
        <f>0</f>
        <v>0</v>
      </c>
      <c r="U16" s="89">
        <f>0</f>
        <v>0</v>
      </c>
      <c r="V16" s="89">
        <f>R16+S16+T16+U16</f>
        <v>3690.867359</v>
      </c>
      <c r="W16" s="89">
        <f>688013841/1000000</f>
        <v>688.013841</v>
      </c>
      <c r="X16" s="89">
        <v>0</v>
      </c>
      <c r="Y16" s="89">
        <v>0</v>
      </c>
      <c r="Z16" s="89">
        <f t="shared" si="4"/>
        <v>4378.8812</v>
      </c>
      <c r="AA16" s="89">
        <f>572903294/1000000</f>
        <v>572.903294</v>
      </c>
      <c r="AB16" s="89">
        <f>156000000/1000000</f>
        <v>156</v>
      </c>
      <c r="AC16" s="89">
        <v>0</v>
      </c>
      <c r="AD16" s="89">
        <f t="shared" si="5"/>
        <v>5107.7844939999995</v>
      </c>
    </row>
    <row r="17" spans="1:30" ht="11.25">
      <c r="A17" s="83"/>
      <c r="B17" s="86"/>
      <c r="C17" s="86"/>
      <c r="D17" s="86"/>
      <c r="E17" s="87"/>
      <c r="F17" s="86"/>
      <c r="G17" s="81"/>
      <c r="H17" s="81"/>
      <c r="I17" s="81"/>
      <c r="J17" s="89"/>
      <c r="K17" s="81"/>
      <c r="L17" s="81"/>
      <c r="M17" s="81"/>
      <c r="N17" s="89"/>
      <c r="O17" s="81"/>
      <c r="P17" s="81"/>
      <c r="Q17" s="81"/>
      <c r="R17" s="89"/>
      <c r="S17" s="81"/>
      <c r="T17" s="81"/>
      <c r="U17" s="81"/>
      <c r="V17" s="89"/>
      <c r="W17" s="89"/>
      <c r="X17" s="89"/>
      <c r="Y17" s="81"/>
      <c r="Z17" s="89"/>
      <c r="AA17" s="81"/>
      <c r="AB17" s="89"/>
      <c r="AC17" s="89"/>
      <c r="AD17" s="89"/>
    </row>
    <row r="18" spans="1:30" ht="11.25">
      <c r="A18" s="83" t="s">
        <v>88</v>
      </c>
      <c r="B18" s="92">
        <f>4315520870/1000000</f>
        <v>4315.52087</v>
      </c>
      <c r="C18" s="93">
        <f>3547770541/1000000</f>
        <v>3547.770541</v>
      </c>
      <c r="D18" s="86">
        <v>0</v>
      </c>
      <c r="E18" s="87">
        <v>0</v>
      </c>
      <c r="F18" s="85">
        <f>B18+C18+D18+E18</f>
        <v>7863.291411</v>
      </c>
      <c r="G18" s="88">
        <f>3481913570/1000000</f>
        <v>3481.91357</v>
      </c>
      <c r="H18" s="88">
        <f>24328426050/1000000</f>
        <v>24328.42605</v>
      </c>
      <c r="I18" s="81">
        <f>0</f>
        <v>0</v>
      </c>
      <c r="J18" s="89">
        <f t="shared" si="0"/>
        <v>35673.631031</v>
      </c>
      <c r="K18" s="108">
        <f>3542918369/1000000</f>
        <v>3542.918369</v>
      </c>
      <c r="L18" s="89">
        <f>4965995690.4/1000000</f>
        <v>4965.9956904</v>
      </c>
      <c r="M18" s="89">
        <v>0</v>
      </c>
      <c r="N18" s="89">
        <f t="shared" si="1"/>
        <v>44182.545090399995</v>
      </c>
      <c r="O18" s="89">
        <f>3535761118/1000000</f>
        <v>3535.761118</v>
      </c>
      <c r="P18" s="81">
        <f>195000000/1000000</f>
        <v>195</v>
      </c>
      <c r="Q18" s="89">
        <v>0</v>
      </c>
      <c r="R18" s="89">
        <f t="shared" si="2"/>
        <v>47913.3062084</v>
      </c>
      <c r="S18" s="89">
        <f>3483346160/1000000</f>
        <v>3483.34616</v>
      </c>
      <c r="T18" s="89">
        <f>0</f>
        <v>0</v>
      </c>
      <c r="U18" s="89">
        <f>0</f>
        <v>0</v>
      </c>
      <c r="V18" s="89">
        <f t="shared" si="3"/>
        <v>51396.6523684</v>
      </c>
      <c r="W18" s="89">
        <f>3254894006/1000000</f>
        <v>3254.894006</v>
      </c>
      <c r="X18" s="89">
        <f>27034446808.5/1000000</f>
        <v>27034.4468085</v>
      </c>
      <c r="Y18" s="81">
        <f>2300000000/1000000</f>
        <v>2300</v>
      </c>
      <c r="Z18" s="89">
        <f t="shared" si="4"/>
        <v>83985.9931829</v>
      </c>
      <c r="AA18" s="89">
        <f>3261591718/1000000</f>
        <v>3261.591718</v>
      </c>
      <c r="AB18" s="89">
        <v>0</v>
      </c>
      <c r="AC18" s="89">
        <v>0</v>
      </c>
      <c r="AD18" s="89">
        <f t="shared" si="5"/>
        <v>87247.5849009</v>
      </c>
    </row>
    <row r="19" spans="1:30" ht="11.25">
      <c r="A19" s="83"/>
      <c r="B19" s="86"/>
      <c r="C19" s="86"/>
      <c r="D19" s="86"/>
      <c r="E19" s="87"/>
      <c r="F19" s="86"/>
      <c r="G19" s="81"/>
      <c r="H19" s="81"/>
      <c r="I19" s="81"/>
      <c r="J19" s="89"/>
      <c r="K19" s="81"/>
      <c r="L19" s="81"/>
      <c r="M19" s="81"/>
      <c r="N19" s="89"/>
      <c r="O19" s="81"/>
      <c r="P19" s="81"/>
      <c r="Q19" s="89"/>
      <c r="R19" s="89"/>
      <c r="S19" s="81"/>
      <c r="T19" s="81"/>
      <c r="U19" s="81"/>
      <c r="V19" s="89"/>
      <c r="W19" s="89"/>
      <c r="X19" s="89"/>
      <c r="Y19" s="81"/>
      <c r="Z19" s="89"/>
      <c r="AA19" s="81"/>
      <c r="AB19" s="89"/>
      <c r="AC19" s="89"/>
      <c r="AD19" s="89"/>
    </row>
    <row r="20" spans="1:30" ht="11.25">
      <c r="A20" s="83" t="s">
        <v>89</v>
      </c>
      <c r="B20" s="92">
        <f>12813252428/1000000</f>
        <v>12813.252428</v>
      </c>
      <c r="C20" s="85">
        <f>13584369185/1000000</f>
        <v>13584.369185</v>
      </c>
      <c r="D20" s="85">
        <f>46055528424/1000000</f>
        <v>46055.528424</v>
      </c>
      <c r="E20" s="87">
        <v>0</v>
      </c>
      <c r="F20" s="85">
        <f>B20+C20+D20+E20</f>
        <v>72453.150037</v>
      </c>
      <c r="G20" s="88">
        <f>15836658524/1000000</f>
        <v>15836.658524</v>
      </c>
      <c r="H20" s="88">
        <f>13789680800/1000000</f>
        <v>13789.6808</v>
      </c>
      <c r="I20" s="88">
        <f>1375000000/1000000</f>
        <v>1375</v>
      </c>
      <c r="J20" s="89">
        <f t="shared" si="0"/>
        <v>103454.489361</v>
      </c>
      <c r="K20" s="108">
        <f>11490431844/1000000</f>
        <v>11490.431844</v>
      </c>
      <c r="L20" s="89">
        <f>33120660766/1000000</f>
        <v>33120.660766</v>
      </c>
      <c r="M20" s="89">
        <v>0</v>
      </c>
      <c r="N20" s="89">
        <f t="shared" si="1"/>
        <v>148065.581971</v>
      </c>
      <c r="O20" s="89">
        <f>11602244893/1000000</f>
        <v>11602.244893</v>
      </c>
      <c r="P20" s="89">
        <f>2302100000/1000000</f>
        <v>2302.1</v>
      </c>
      <c r="Q20" s="89">
        <v>0</v>
      </c>
      <c r="R20" s="89">
        <f t="shared" si="2"/>
        <v>161969.926864</v>
      </c>
      <c r="S20" s="89">
        <f>11713357503/1000000</f>
        <v>11713.357503</v>
      </c>
      <c r="T20" s="89">
        <f>2710220000/1000000</f>
        <v>2710.22</v>
      </c>
      <c r="U20" s="89">
        <f>0</f>
        <v>0</v>
      </c>
      <c r="V20" s="89">
        <f t="shared" si="3"/>
        <v>176393.50436700002</v>
      </c>
      <c r="W20" s="89">
        <f>15796480747/1000000</f>
        <v>15796.480747</v>
      </c>
      <c r="X20" s="89">
        <f>19043684052.52/1000000</f>
        <v>19043.68405252</v>
      </c>
      <c r="Y20" s="81">
        <f>900000000/1000000</f>
        <v>900</v>
      </c>
      <c r="Z20" s="89">
        <f t="shared" si="4"/>
        <v>212133.66916652</v>
      </c>
      <c r="AA20" s="89">
        <f>11451889599/1000000</f>
        <v>11451.889599</v>
      </c>
      <c r="AB20" s="89">
        <f>1099850000/1000000</f>
        <v>1099.85</v>
      </c>
      <c r="AC20" s="89">
        <v>0</v>
      </c>
      <c r="AD20" s="89">
        <f t="shared" si="5"/>
        <v>224685.40876552</v>
      </c>
    </row>
    <row r="21" spans="1:30" ht="11.25">
      <c r="A21" s="83"/>
      <c r="B21" s="86"/>
      <c r="C21" s="86"/>
      <c r="D21" s="86"/>
      <c r="E21" s="87"/>
      <c r="F21" s="86"/>
      <c r="G21" s="81"/>
      <c r="H21" s="81"/>
      <c r="I21" s="81"/>
      <c r="J21" s="89"/>
      <c r="K21" s="81"/>
      <c r="L21" s="81"/>
      <c r="M21" s="81"/>
      <c r="N21" s="89"/>
      <c r="O21" s="81"/>
      <c r="P21" s="81"/>
      <c r="Q21" s="89"/>
      <c r="R21" s="89"/>
      <c r="S21" s="81"/>
      <c r="T21" s="81"/>
      <c r="U21" s="81"/>
      <c r="V21" s="89"/>
      <c r="W21" s="89"/>
      <c r="X21" s="89"/>
      <c r="Y21" s="81"/>
      <c r="Z21" s="89"/>
      <c r="AA21" s="81"/>
      <c r="AB21" s="89"/>
      <c r="AC21" s="89"/>
      <c r="AD21" s="89"/>
    </row>
    <row r="22" spans="1:30" ht="11.25">
      <c r="A22" s="83" t="s">
        <v>90</v>
      </c>
      <c r="B22" s="92">
        <f>122878415/1000000</f>
        <v>122.878415</v>
      </c>
      <c r="C22" s="85">
        <f>85003415/1000000</f>
        <v>85.003415</v>
      </c>
      <c r="D22" s="86">
        <v>0</v>
      </c>
      <c r="E22" s="87">
        <v>0</v>
      </c>
      <c r="F22" s="85">
        <f>B22+C22+D22+E22</f>
        <v>207.88183</v>
      </c>
      <c r="G22" s="88">
        <f>126478142/1000000</f>
        <v>126.478142</v>
      </c>
      <c r="H22" s="88">
        <f>0</f>
        <v>0</v>
      </c>
      <c r="I22" s="81">
        <f>0</f>
        <v>0</v>
      </c>
      <c r="J22" s="89">
        <f t="shared" si="0"/>
        <v>334.359972</v>
      </c>
      <c r="K22" s="108">
        <f>77037157/1000000</f>
        <v>77.037157</v>
      </c>
      <c r="L22" s="89">
        <f>174118723.2/1000000</f>
        <v>174.11872319999998</v>
      </c>
      <c r="M22" s="89">
        <v>0</v>
      </c>
      <c r="N22" s="89">
        <f t="shared" si="1"/>
        <v>585.5158521999999</v>
      </c>
      <c r="O22" s="89">
        <f>79095049/1000000</f>
        <v>79.095049</v>
      </c>
      <c r="P22" s="89">
        <f>324214067.8/1000000</f>
        <v>324.2140678</v>
      </c>
      <c r="Q22" s="89">
        <v>0</v>
      </c>
      <c r="R22" s="89">
        <f t="shared" si="2"/>
        <v>988.824969</v>
      </c>
      <c r="S22" s="89">
        <f>77683031/1000000</f>
        <v>77.683031</v>
      </c>
      <c r="T22" s="81">
        <f>75000000/1000000</f>
        <v>75</v>
      </c>
      <c r="U22" s="89">
        <f>0</f>
        <v>0</v>
      </c>
      <c r="V22" s="89">
        <f t="shared" si="3"/>
        <v>1141.508</v>
      </c>
      <c r="W22" s="89">
        <f>76657031/1000000</f>
        <v>76.657031</v>
      </c>
      <c r="X22" s="89">
        <f>3443223494.34/1000000</f>
        <v>3443.2234943400003</v>
      </c>
      <c r="Y22" s="89">
        <v>0</v>
      </c>
      <c r="Z22" s="89">
        <f t="shared" si="4"/>
        <v>4661.38852534</v>
      </c>
      <c r="AA22" s="89">
        <f>77214442/1000000</f>
        <v>77.214442</v>
      </c>
      <c r="AB22" s="89">
        <f>189531870/1000000</f>
        <v>189.53187</v>
      </c>
      <c r="AC22" s="89"/>
      <c r="AD22" s="89">
        <f t="shared" si="5"/>
        <v>4928.134837340001</v>
      </c>
    </row>
    <row r="23" spans="1:30" ht="11.25">
      <c r="A23" s="83"/>
      <c r="B23" s="86"/>
      <c r="C23" s="86"/>
      <c r="D23" s="86"/>
      <c r="E23" s="87"/>
      <c r="F23" s="86"/>
      <c r="G23" s="81"/>
      <c r="H23" s="81"/>
      <c r="I23" s="81"/>
      <c r="J23" s="89"/>
      <c r="K23" s="81"/>
      <c r="L23" s="81"/>
      <c r="M23" s="81"/>
      <c r="N23" s="89"/>
      <c r="O23" s="81"/>
      <c r="P23" s="81"/>
      <c r="Q23" s="81"/>
      <c r="R23" s="89"/>
      <c r="S23" s="81"/>
      <c r="T23" s="81"/>
      <c r="U23" s="81"/>
      <c r="V23" s="89"/>
      <c r="W23" s="89"/>
      <c r="X23" s="89"/>
      <c r="Y23" s="81"/>
      <c r="Z23" s="89"/>
      <c r="AA23" s="81"/>
      <c r="AB23" s="89"/>
      <c r="AC23" s="89"/>
      <c r="AD23" s="89"/>
    </row>
    <row r="24" spans="1:30" ht="11.25">
      <c r="A24" s="83" t="s">
        <v>91</v>
      </c>
      <c r="B24" s="92">
        <f>12186302441/1000000</f>
        <v>12186.302441</v>
      </c>
      <c r="C24" s="86">
        <v>0</v>
      </c>
      <c r="D24" s="86">
        <v>0</v>
      </c>
      <c r="E24" s="85">
        <f>46918076888/1000000</f>
        <v>46918.076888</v>
      </c>
      <c r="F24" s="85">
        <f>B24+C24+D24+E24</f>
        <v>59104.379329</v>
      </c>
      <c r="G24" s="88">
        <f>1061985827/1000000</f>
        <v>1061.985827</v>
      </c>
      <c r="H24" s="88">
        <f>0</f>
        <v>0</v>
      </c>
      <c r="I24" s="88">
        <f>77193798025/1000000</f>
        <v>77193.798025</v>
      </c>
      <c r="J24" s="89">
        <f t="shared" si="0"/>
        <v>137360.16318099998</v>
      </c>
      <c r="K24" s="108">
        <f>793585511/1000000</f>
        <v>793.585511</v>
      </c>
      <c r="L24" s="89">
        <f>3793450000/1000000</f>
        <v>3793.45</v>
      </c>
      <c r="M24" s="89">
        <f>44426434280/1000000</f>
        <v>44426.43428</v>
      </c>
      <c r="N24" s="89">
        <f t="shared" si="1"/>
        <v>186373.632972</v>
      </c>
      <c r="O24" s="89">
        <f>96236164/1000000</f>
        <v>96.236164</v>
      </c>
      <c r="P24" s="89">
        <f>2187616900/1000000</f>
        <v>2187.6169</v>
      </c>
      <c r="Q24" s="89">
        <f>6523136491/1000000</f>
        <v>6523.136491</v>
      </c>
      <c r="R24" s="89">
        <f t="shared" si="2"/>
        <v>195180.622527</v>
      </c>
      <c r="S24" s="89">
        <f>463435708/1000000</f>
        <v>463.435708</v>
      </c>
      <c r="T24" s="89">
        <f>981527000/1000000</f>
        <v>981.527</v>
      </c>
      <c r="U24" s="89">
        <f>16996139472.82/1000000</f>
        <v>16996.13947282</v>
      </c>
      <c r="V24" s="89">
        <f t="shared" si="3"/>
        <v>213621.72470782002</v>
      </c>
      <c r="W24" s="89">
        <v>0</v>
      </c>
      <c r="X24" s="89">
        <f>579872960/1000000</f>
        <v>579.87296</v>
      </c>
      <c r="Y24" s="89">
        <f>63611436942.89/1000000</f>
        <v>63611.43694289</v>
      </c>
      <c r="Z24" s="89">
        <f t="shared" si="4"/>
        <v>277813.03461071005</v>
      </c>
      <c r="AA24" s="89">
        <v>0</v>
      </c>
      <c r="AB24" s="89">
        <f>328487367.96/1000000</f>
        <v>328.48736796</v>
      </c>
      <c r="AC24" s="89">
        <v>0</v>
      </c>
      <c r="AD24" s="89">
        <f t="shared" si="5"/>
        <v>278141.52197867003</v>
      </c>
    </row>
    <row r="25" spans="1:30" ht="11.25">
      <c r="A25" s="83"/>
      <c r="B25" s="86"/>
      <c r="C25" s="86"/>
      <c r="D25" s="86"/>
      <c r="E25" s="87"/>
      <c r="F25" s="86"/>
      <c r="G25" s="81"/>
      <c r="H25" s="81"/>
      <c r="I25" s="81"/>
      <c r="J25" s="89"/>
      <c r="K25" s="88"/>
      <c r="L25" s="81"/>
      <c r="M25" s="81"/>
      <c r="N25" s="89"/>
      <c r="O25" s="81"/>
      <c r="P25" s="81"/>
      <c r="Q25" s="81"/>
      <c r="R25" s="89"/>
      <c r="S25" s="81"/>
      <c r="T25" s="81"/>
      <c r="U25" s="81"/>
      <c r="V25" s="89"/>
      <c r="W25" s="89"/>
      <c r="X25" s="89"/>
      <c r="Y25" s="81"/>
      <c r="Z25" s="89"/>
      <c r="AA25" s="81"/>
      <c r="AB25" s="89"/>
      <c r="AC25" s="82"/>
      <c r="AD25" s="89"/>
    </row>
    <row r="26" spans="1:30" ht="11.25">
      <c r="A26" s="83" t="s">
        <v>92</v>
      </c>
      <c r="B26" s="86">
        <v>0</v>
      </c>
      <c r="C26" s="86">
        <v>0</v>
      </c>
      <c r="D26" s="86">
        <v>0</v>
      </c>
      <c r="E26" s="87">
        <v>0</v>
      </c>
      <c r="F26" s="86">
        <f>B26+C26+D26+E26</f>
        <v>0</v>
      </c>
      <c r="G26" s="81">
        <f>0</f>
        <v>0</v>
      </c>
      <c r="H26" s="81">
        <f>0</f>
        <v>0</v>
      </c>
      <c r="I26" s="81">
        <f>0</f>
        <v>0</v>
      </c>
      <c r="J26" s="89">
        <f t="shared" si="0"/>
        <v>0</v>
      </c>
      <c r="K26" s="88">
        <f>0</f>
        <v>0</v>
      </c>
      <c r="L26" s="89">
        <f>0</f>
        <v>0</v>
      </c>
      <c r="M26" s="89">
        <v>0</v>
      </c>
      <c r="N26" s="89">
        <f t="shared" si="1"/>
        <v>0</v>
      </c>
      <c r="O26" s="89">
        <v>0</v>
      </c>
      <c r="P26" s="89">
        <v>0</v>
      </c>
      <c r="Q26" s="89">
        <v>0</v>
      </c>
      <c r="R26" s="89">
        <f t="shared" si="2"/>
        <v>0</v>
      </c>
      <c r="S26" s="89">
        <f>0</f>
        <v>0</v>
      </c>
      <c r="T26" s="89">
        <f>0</f>
        <v>0</v>
      </c>
      <c r="U26" s="89">
        <v>0</v>
      </c>
      <c r="V26" s="89">
        <f t="shared" si="3"/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f t="shared" si="5"/>
        <v>0</v>
      </c>
    </row>
    <row r="27" spans="1:30" ht="11.25">
      <c r="A27" s="83"/>
      <c r="B27" s="86"/>
      <c r="C27" s="86"/>
      <c r="D27" s="86"/>
      <c r="E27" s="87"/>
      <c r="F27" s="86"/>
      <c r="G27" s="81"/>
      <c r="H27" s="81"/>
      <c r="I27" s="81"/>
      <c r="J27" s="89"/>
      <c r="K27" s="88"/>
      <c r="L27" s="81"/>
      <c r="M27" s="81"/>
      <c r="N27" s="89"/>
      <c r="O27" s="81"/>
      <c r="P27" s="81"/>
      <c r="Q27" s="89"/>
      <c r="R27" s="89"/>
      <c r="S27" s="81"/>
      <c r="T27" s="81"/>
      <c r="U27" s="81"/>
      <c r="V27" s="89"/>
      <c r="W27" s="89"/>
      <c r="X27" s="89"/>
      <c r="Y27" s="81"/>
      <c r="Z27" s="89"/>
      <c r="AA27" s="81"/>
      <c r="AB27" s="89"/>
      <c r="AC27" s="82"/>
      <c r="AD27" s="89"/>
    </row>
    <row r="28" spans="1:30" ht="11.25">
      <c r="A28" s="83" t="s">
        <v>93</v>
      </c>
      <c r="B28" s="92">
        <f>19382849316.76/1000000</f>
        <v>19382.84931676</v>
      </c>
      <c r="C28" s="85">
        <f>17214075889/1000000</f>
        <v>17214.075889</v>
      </c>
      <c r="D28" s="85">
        <f>143861636/1000000</f>
        <v>143.861636</v>
      </c>
      <c r="E28" s="85">
        <f>9756031485/1000000</f>
        <v>9756.031485</v>
      </c>
      <c r="F28" s="85">
        <f>B28+C28+D28+E28</f>
        <v>46496.818326759996</v>
      </c>
      <c r="G28" s="88">
        <f>19240287396/1000000</f>
        <v>19240.287396</v>
      </c>
      <c r="H28" s="88">
        <f>9469698198.78/1000000</f>
        <v>9469.69819878</v>
      </c>
      <c r="I28" s="88">
        <f>476867374/1000000</f>
        <v>476.867374</v>
      </c>
      <c r="J28" s="89">
        <f>F28+G28+H28+I28</f>
        <v>75683.67129553999</v>
      </c>
      <c r="K28" s="108">
        <f>18140312473/1000000</f>
        <v>18140.312473</v>
      </c>
      <c r="L28" s="89">
        <f>27701367794.72/1000000</f>
        <v>27701.36779472</v>
      </c>
      <c r="M28" s="81">
        <f>1450000000/1000000</f>
        <v>1450</v>
      </c>
      <c r="N28" s="89">
        <f t="shared" si="1"/>
        <v>122975.35156325999</v>
      </c>
      <c r="O28" s="89">
        <f>17890211101/1000000</f>
        <v>17890.211101</v>
      </c>
      <c r="P28" s="89">
        <f>11929275248.6/1000000</f>
        <v>11929.2752486</v>
      </c>
      <c r="Q28" s="89">
        <f>255076878.58/1000000</f>
        <v>255.07687858</v>
      </c>
      <c r="R28" s="89">
        <f t="shared" si="2"/>
        <v>153049.91479143998</v>
      </c>
      <c r="S28" s="89">
        <f>17837744268/1000000</f>
        <v>17837.744268</v>
      </c>
      <c r="T28" s="89">
        <f>5570931133/1000000</f>
        <v>5570.931133</v>
      </c>
      <c r="U28" s="89">
        <f>74654830331.92/1000000</f>
        <v>74654.83033191999</v>
      </c>
      <c r="V28" s="89">
        <f t="shared" si="3"/>
        <v>251113.42052435997</v>
      </c>
      <c r="W28" s="89">
        <f>18268999424/1000000</f>
        <v>18268.999424</v>
      </c>
      <c r="X28" s="89">
        <f>3668853893.54/1000000</f>
        <v>3668.85389354</v>
      </c>
      <c r="Y28" s="89">
        <f>61513941177/1000000</f>
        <v>61513.941177</v>
      </c>
      <c r="Z28" s="89">
        <f t="shared" si="4"/>
        <v>334565.21501889994</v>
      </c>
      <c r="AA28" s="89">
        <f>18220337005/1000000</f>
        <v>18220.337005</v>
      </c>
      <c r="AB28" s="89">
        <f>4040764297.98/1000000</f>
        <v>4040.76429798</v>
      </c>
      <c r="AC28" s="89">
        <f>38932459896.31/1000000</f>
        <v>38932.45989631</v>
      </c>
      <c r="AD28" s="89">
        <f t="shared" si="5"/>
        <v>395758.7762181899</v>
      </c>
    </row>
    <row r="29" spans="1:30" ht="11.25">
      <c r="A29" s="83"/>
      <c r="B29" s="86"/>
      <c r="C29" s="86"/>
      <c r="D29" s="86"/>
      <c r="E29" s="87"/>
      <c r="F29" s="86"/>
      <c r="G29" s="81"/>
      <c r="H29" s="81"/>
      <c r="I29" s="94"/>
      <c r="J29" s="89"/>
      <c r="K29" s="108"/>
      <c r="L29" s="81"/>
      <c r="M29" s="81"/>
      <c r="N29" s="89"/>
      <c r="O29" s="81"/>
      <c r="P29" s="81"/>
      <c r="Q29" s="81"/>
      <c r="R29" s="89"/>
      <c r="S29" s="81"/>
      <c r="T29" s="81"/>
      <c r="U29" s="81"/>
      <c r="V29" s="89"/>
      <c r="W29" s="89"/>
      <c r="X29" s="89"/>
      <c r="Y29" s="81"/>
      <c r="Z29" s="89"/>
      <c r="AA29" s="81"/>
      <c r="AB29" s="81"/>
      <c r="AC29" s="82"/>
      <c r="AD29" s="89"/>
    </row>
    <row r="30" spans="1:30" ht="11.25">
      <c r="A30" s="95" t="s">
        <v>94</v>
      </c>
      <c r="B30" s="92">
        <f>119858732316.86/1000000</f>
        <v>119858.73231686</v>
      </c>
      <c r="C30" s="96">
        <f>(38790160428.4+35359212308)/1000000</f>
        <v>74149.3727364</v>
      </c>
      <c r="D30" s="96">
        <f>(159378167568.47+28234068716.12-51503144302.6)/1000000</f>
        <v>136109.09198199</v>
      </c>
      <c r="E30" s="96">
        <f>51371789456.5/1000000</f>
        <v>51371.7894565</v>
      </c>
      <c r="F30" s="96">
        <f>B30+C30+D30+E30</f>
        <v>381488.98649175</v>
      </c>
      <c r="G30" s="85">
        <f>(31379920549.26+43222122932.7889)/1000000</f>
        <v>74602.0434820489</v>
      </c>
      <c r="H30" s="88">
        <f>(178960375898.44+21284695350.25-43123603161.41)/1000000</f>
        <v>157121.46808728</v>
      </c>
      <c r="I30" s="88">
        <f>6075000000/1000000</f>
        <v>6075</v>
      </c>
      <c r="J30" s="89">
        <f t="shared" si="0"/>
        <v>619287.4980610788</v>
      </c>
      <c r="K30" s="108">
        <f>(37136767199.74+37854915316.32)/1000000</f>
        <v>74991.68251606</v>
      </c>
      <c r="L30" s="89">
        <f>(165490619797.56+33307624827.87-64159414975.84)/1000000</f>
        <v>134638.82964958998</v>
      </c>
      <c r="M30" s="89">
        <f>(525000000.5+1514455000)/1000000</f>
        <v>2039.4550005</v>
      </c>
      <c r="N30" s="89">
        <f t="shared" si="1"/>
        <v>830957.4652272287</v>
      </c>
      <c r="O30" s="89">
        <f>(33082445919+30888873403.02)/1000000</f>
        <v>63971.319322020005</v>
      </c>
      <c r="P30" s="89">
        <f>(148779466646.39+23684193854.48-41230955037.25)/1000000</f>
        <v>131232.70546362002</v>
      </c>
      <c r="Q30" s="89">
        <f>-3118319035/1000000</f>
        <v>-3118.319035</v>
      </c>
      <c r="R30" s="89">
        <f t="shared" si="2"/>
        <v>1023043.1709778687</v>
      </c>
      <c r="S30" s="89">
        <f>(32044236759.15+35732578678.48)/1000000</f>
        <v>67776.81543763001</v>
      </c>
      <c r="T30" s="89">
        <f>(88191381795.38+6964006137.05-70519516215.77)/1000000</f>
        <v>24635.871716660004</v>
      </c>
      <c r="U30" s="89">
        <f>(9055188915+286102500)/1000000</f>
        <v>9341.291415</v>
      </c>
      <c r="V30" s="89">
        <f t="shared" si="3"/>
        <v>1124797.1495471587</v>
      </c>
      <c r="W30" s="89">
        <f>(73538781540.21+33404019314.11)/1000000</f>
        <v>106942.80085432001</v>
      </c>
      <c r="X30" s="89">
        <f>(80539102443.51+57330136194.55-38424555030.57)/1000000</f>
        <v>99444.68360748999</v>
      </c>
      <c r="Y30" s="89">
        <f>(41794047674+466525000)/1000000</f>
        <v>42260.572674</v>
      </c>
      <c r="Z30" s="89">
        <f t="shared" si="4"/>
        <v>1373445.2066829687</v>
      </c>
      <c r="AA30" s="89">
        <f>(29852352341+34770709397.66+19000000)/1000000</f>
        <v>64642.061738660006</v>
      </c>
      <c r="AB30" s="89">
        <f>(90300836894.53+16099887494.18-42601605791.62)/1000000</f>
        <v>63799.11859708999</v>
      </c>
      <c r="AC30" s="89">
        <f>(27404716715+7634010000)/1000000</f>
        <v>35038.726715</v>
      </c>
      <c r="AD30" s="89">
        <f t="shared" si="5"/>
        <v>1536925.1137337186</v>
      </c>
    </row>
    <row r="31" spans="1:30" ht="22.5" customHeight="1" thickBot="1">
      <c r="A31" s="97" t="s">
        <v>95</v>
      </c>
      <c r="B31" s="98">
        <f aca="true" t="shared" si="6" ref="B31:I31">SUM(B12:B30)</f>
        <v>230312.72158438</v>
      </c>
      <c r="C31" s="99">
        <f t="shared" si="6"/>
        <v>152130.1005474</v>
      </c>
      <c r="D31" s="99">
        <f t="shared" si="6"/>
        <v>192810.37451401</v>
      </c>
      <c r="E31" s="100">
        <f t="shared" si="6"/>
        <v>108045.8978295</v>
      </c>
      <c r="F31" s="99">
        <f t="shared" si="6"/>
        <v>683299.0944752899</v>
      </c>
      <c r="G31" s="99">
        <f t="shared" si="6"/>
        <v>159743.30447204888</v>
      </c>
      <c r="H31" s="99">
        <f t="shared" si="6"/>
        <v>205306.70621606</v>
      </c>
      <c r="I31" s="99">
        <f t="shared" si="6"/>
        <v>85120.66539899999</v>
      </c>
      <c r="J31" s="99">
        <f aca="true" t="shared" si="7" ref="J31:AD31">SUM(J12:J30)</f>
        <v>1133469.7705623987</v>
      </c>
      <c r="K31" s="99">
        <f t="shared" si="7"/>
        <v>156221.21043705998</v>
      </c>
      <c r="L31" s="99">
        <f t="shared" si="7"/>
        <v>233510.09703136998</v>
      </c>
      <c r="M31" s="99">
        <f>SUM(M12:M30)</f>
        <v>54305.5892805</v>
      </c>
      <c r="N31" s="99">
        <f t="shared" si="7"/>
        <v>1577506.6673113285</v>
      </c>
      <c r="O31" s="99">
        <f t="shared" si="7"/>
        <v>147180.74597202003</v>
      </c>
      <c r="P31" s="99">
        <f>SUM(P12:P30)</f>
        <v>154763.29248911003</v>
      </c>
      <c r="Q31" s="99">
        <f t="shared" si="7"/>
        <v>3936.6153505800007</v>
      </c>
      <c r="R31" s="99">
        <f t="shared" si="7"/>
        <v>1883387.3211230387</v>
      </c>
      <c r="S31" s="99">
        <f t="shared" si="7"/>
        <v>148368.12022363</v>
      </c>
      <c r="T31" s="99">
        <f t="shared" si="7"/>
        <v>35155.765521</v>
      </c>
      <c r="U31" s="99">
        <f t="shared" si="7"/>
        <v>107287.78373273999</v>
      </c>
      <c r="V31" s="99">
        <f>SUM(V12:V30)</f>
        <v>2174198.990600409</v>
      </c>
      <c r="W31" s="99">
        <f t="shared" si="7"/>
        <v>191419.60058232</v>
      </c>
      <c r="X31" s="99">
        <f t="shared" si="7"/>
        <v>206328.85432413</v>
      </c>
      <c r="Y31" s="99">
        <f t="shared" si="7"/>
        <v>172122.89288389002</v>
      </c>
      <c r="Z31" s="99">
        <f>SUM(Z12:Z30)</f>
        <v>2744070.3383907485</v>
      </c>
      <c r="AA31" s="99">
        <f t="shared" si="7"/>
        <v>141466.64841066</v>
      </c>
      <c r="AB31" s="99">
        <f t="shared" si="7"/>
        <v>81590.01759717999</v>
      </c>
      <c r="AC31" s="99">
        <f t="shared" si="7"/>
        <v>73971.18661131</v>
      </c>
      <c r="AD31" s="99">
        <f t="shared" si="7"/>
        <v>3041098.1910098987</v>
      </c>
    </row>
    <row r="32" ht="12" thickTop="1"/>
    <row r="34" ht="11.25">
      <c r="A34" s="101" t="s">
        <v>49</v>
      </c>
    </row>
    <row r="36" ht="12">
      <c r="A36" s="59" t="s">
        <v>106</v>
      </c>
    </row>
    <row r="37" ht="11.25">
      <c r="A37" s="102" t="s">
        <v>62</v>
      </c>
    </row>
  </sheetData>
  <sheetProtection password="E085" sheet="1"/>
  <mergeCells count="14">
    <mergeCell ref="C5:E5"/>
    <mergeCell ref="G5:I5"/>
    <mergeCell ref="C6:E6"/>
    <mergeCell ref="G6:I6"/>
    <mergeCell ref="K5:M5"/>
    <mergeCell ref="K6:M6"/>
    <mergeCell ref="S5:U5"/>
    <mergeCell ref="S6:U6"/>
    <mergeCell ref="O5:Q5"/>
    <mergeCell ref="O6:Q6"/>
    <mergeCell ref="AA5:AC5"/>
    <mergeCell ref="AA6:AC6"/>
    <mergeCell ref="W5:Y5"/>
    <mergeCell ref="W6:Y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rwilliams</dc:creator>
  <cp:keywords/>
  <dc:description/>
  <cp:lastModifiedBy>Mohamed</cp:lastModifiedBy>
  <cp:lastPrinted>2017-10-24T15:27:34Z</cp:lastPrinted>
  <dcterms:created xsi:type="dcterms:W3CDTF">2006-06-26T10:32:25Z</dcterms:created>
  <dcterms:modified xsi:type="dcterms:W3CDTF">2017-11-21T14:02:44Z</dcterms:modified>
  <cp:category/>
  <cp:version/>
  <cp:contentType/>
  <cp:contentStatus/>
</cp:coreProperties>
</file>