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65476" windowWidth="10320" windowHeight="8265" activeTab="1"/>
  </bookViews>
  <sheets>
    <sheet name="REPORT" sheetId="1" r:id="rId1"/>
    <sheet name="COFOG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Z_B9645FD8_B685_47AE_B7F1_FD689DD0082C_.wvu.Cols" localSheetId="1" hidden="1">'COFOG'!$B:$I,'COFOG'!$O:$V</definedName>
    <definedName name="Z_B9645FD8_B685_47AE_B7F1_FD689DD0082C_.wvu.Cols" localSheetId="0" hidden="1">'REPORT'!$C:$F,'REPORT'!$J:$M</definedName>
    <definedName name="Z_B9645FD8_B685_47AE_B7F1_FD689DD0082C_.wvu.Rows" localSheetId="0" hidden="1">'REPORT'!$91:$129</definedName>
  </definedNames>
  <calcPr fullCalcOnLoad="1"/>
</workbook>
</file>

<file path=xl/sharedStrings.xml><?xml version="1.0" encoding="utf-8"?>
<sst xmlns="http://schemas.openxmlformats.org/spreadsheetml/2006/main" count="225" uniqueCount="111">
  <si>
    <t>Le' m</t>
  </si>
  <si>
    <t>Domestic Revenue Collection</t>
  </si>
  <si>
    <t>Income Tax</t>
  </si>
  <si>
    <t>Customs and Excise</t>
  </si>
  <si>
    <t>Mineral Resources</t>
  </si>
  <si>
    <t>Fisheries</t>
  </si>
  <si>
    <t>Other Departments</t>
  </si>
  <si>
    <t>Road User Charges</t>
  </si>
  <si>
    <t>Total Domestic Revenue</t>
  </si>
  <si>
    <t>Grants Receipts (Direct Grant Budgetary Support)</t>
  </si>
  <si>
    <t>HIPC Debt Relief Assistance</t>
  </si>
  <si>
    <t>Total Grant Receipts</t>
  </si>
  <si>
    <t>OPERATING EXPENSES</t>
  </si>
  <si>
    <t>Wages, Salaries and Employee Benefits</t>
  </si>
  <si>
    <t>Non-Salary, Non-Interest Recurrent Expenditure</t>
  </si>
  <si>
    <t>o/w: National Revenue Authority</t>
  </si>
  <si>
    <t>Grants to Tertiary Educational Institutions</t>
  </si>
  <si>
    <t>Transfer to Road Fund</t>
  </si>
  <si>
    <t>Transfer to Local Government</t>
  </si>
  <si>
    <t>Domestic Development Expenditures</t>
  </si>
  <si>
    <t>Total Operating Expenses</t>
  </si>
  <si>
    <t>Finance Costs</t>
  </si>
  <si>
    <t>Domestic Interest</t>
  </si>
  <si>
    <t>Foreign Interest</t>
  </si>
  <si>
    <t>Arrears Payments</t>
  </si>
  <si>
    <t>Domestic Suppliers</t>
  </si>
  <si>
    <t>Wages Arrears</t>
  </si>
  <si>
    <t>Parastatal Arrears</t>
  </si>
  <si>
    <t>Project Arrears</t>
  </si>
  <si>
    <t>Cheques payable</t>
  </si>
  <si>
    <t>Deductions unpaid and unclaimed</t>
  </si>
  <si>
    <t>Return cheques and advances payment</t>
  </si>
  <si>
    <t>Subsidies</t>
  </si>
  <si>
    <t>Lending minus Repayment</t>
  </si>
  <si>
    <t>Financing Items</t>
  </si>
  <si>
    <t xml:space="preserve">    Net movement in treasury bills and treasury bearer bonds</t>
  </si>
  <si>
    <t>Privatisation Receipts</t>
  </si>
  <si>
    <t>Loan Amortization</t>
  </si>
  <si>
    <t>Total Financing</t>
  </si>
  <si>
    <t>jan</t>
  </si>
  <si>
    <t>mar</t>
  </si>
  <si>
    <t>feb</t>
  </si>
  <si>
    <t>Others</t>
  </si>
  <si>
    <t>Disinvestments in Public Enterprise</t>
  </si>
  <si>
    <t>Cumulative change in cash balances</t>
  </si>
  <si>
    <t xml:space="preserve">    Ways &amp; Means</t>
  </si>
  <si>
    <t>MDRI Relief</t>
  </si>
  <si>
    <t>PUBLIC NOTICE</t>
  </si>
  <si>
    <t>Budget for the year</t>
  </si>
  <si>
    <t>BY ORDER</t>
  </si>
  <si>
    <t>Road User Charges &amp; Vehicle Licences</t>
  </si>
  <si>
    <t>STATEMENT OF FISCAL OPERATIONS (CONSOLIDATED FUND)</t>
  </si>
  <si>
    <t>Other Grants Received- External Donors</t>
  </si>
  <si>
    <t>MDRI Relief Transfers</t>
  </si>
  <si>
    <t>Transfers to Local Councils</t>
  </si>
  <si>
    <t>Total Non-Operating Activities</t>
  </si>
  <si>
    <t>Net Cashflows from Operating Activities</t>
  </si>
  <si>
    <t>Net Cashflows from  Activities</t>
  </si>
  <si>
    <t>Increase/ (Decrease) in Bank Balances during the period</t>
  </si>
  <si>
    <t>Total Receipts</t>
  </si>
  <si>
    <t>Strategic Stock Fund</t>
  </si>
  <si>
    <t xml:space="preserve"> </t>
  </si>
  <si>
    <t>KEBBE A. KOUROMA</t>
  </si>
  <si>
    <t>Strategic Petroleum Revenue</t>
  </si>
  <si>
    <t>Accountant General</t>
  </si>
  <si>
    <t>Grants to Educational Institutions</t>
  </si>
  <si>
    <t>Goods and Services Tax</t>
  </si>
  <si>
    <t>Non-MDRI Relief</t>
  </si>
  <si>
    <t>Programme Loans</t>
  </si>
  <si>
    <t xml:space="preserve"> Global Fund Salary Support</t>
  </si>
  <si>
    <t>Contingency Expenditure</t>
  </si>
  <si>
    <t>Jan 17 - Dec 17</t>
  </si>
  <si>
    <t>Elections Basket Fund</t>
  </si>
  <si>
    <t xml:space="preserve"> Other Projects </t>
  </si>
  <si>
    <t>Actuals for 2017</t>
  </si>
  <si>
    <t>Jan 17-Feb 17</t>
  </si>
  <si>
    <t>Jan 17-Mar 17</t>
  </si>
  <si>
    <t>STATEMENT OF PAYMENTS BY PROGRAMME/ACTIVITIES/FUNCTIONS OF GOVERNMENT</t>
  </si>
  <si>
    <t>FEBRUARY</t>
  </si>
  <si>
    <t>MARCH</t>
  </si>
  <si>
    <t xml:space="preserve">  Personnel Expenditure (Including Wages Arrears)</t>
  </si>
  <si>
    <t xml:space="preserve">   Other Charges (Including Project Arrears)</t>
  </si>
  <si>
    <t xml:space="preserve">  Domestic Development</t>
  </si>
  <si>
    <t>Jan-Feb 17</t>
  </si>
  <si>
    <t>Jan-Mar 17</t>
  </si>
  <si>
    <t>PAYMENTS/EXPENDITURE</t>
  </si>
  <si>
    <t>Operating Account</t>
  </si>
  <si>
    <t>Education Services</t>
  </si>
  <si>
    <t>Health services</t>
  </si>
  <si>
    <t>Social Security and welfare</t>
  </si>
  <si>
    <t>Defence</t>
  </si>
  <si>
    <t>Public Order and safety</t>
  </si>
  <si>
    <t>Recreation, Culture and safety</t>
  </si>
  <si>
    <t>Housing communities amenities</t>
  </si>
  <si>
    <t>Environmental Protection</t>
  </si>
  <si>
    <t>Economic Affairs</t>
  </si>
  <si>
    <t>General Public Services</t>
  </si>
  <si>
    <t>Total Payments/Expenditure</t>
  </si>
  <si>
    <t>Jan 17-Apr 17</t>
  </si>
  <si>
    <t>APRIL</t>
  </si>
  <si>
    <t>Jan-Apr 17</t>
  </si>
  <si>
    <t>Jan 17-May 17</t>
  </si>
  <si>
    <t>MAY</t>
  </si>
  <si>
    <t>Jan-May 17</t>
  </si>
  <si>
    <t>Jan 17-June 17</t>
  </si>
  <si>
    <t>JUNE</t>
  </si>
  <si>
    <t>Jan-June 17</t>
  </si>
  <si>
    <t>Jan 17-Jun 17</t>
  </si>
  <si>
    <t>(Functional Classification of Expenditures by Heads and Items for the month ended 30th April 2017)</t>
  </si>
  <si>
    <t>In accordance with Section 66(1) of the Public Financial Management Act, 2016 a Statement of Receipts into and Payments out of the Consolidated Fund for the month of April 2017  as compared with Budgetary Estimates for the year is hereby published.</t>
  </si>
  <si>
    <t>for the month ended 30th April 2017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</si>
</sst>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"/>
    <numFmt numFmtId="176" formatCode="0.000"/>
    <numFmt numFmtId="177" formatCode="0.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_-;\-* #,##0.000_-;_-* &quot;-&quot;??_-;_-@_-"/>
    <numFmt numFmtId="184" formatCode="_-* #,##0.0000_-;\-* #,##0.0000_-;_-* &quot;-&quot;??_-;_-@_-"/>
    <numFmt numFmtId="185" formatCode="#,##0.0"/>
    <numFmt numFmtId="186" formatCode="#,##0.000"/>
    <numFmt numFmtId="187" formatCode="#,##0,,_);\(#,##0,,\)"/>
    <numFmt numFmtId="188" formatCode="[$-409]dddd\,\ mmmm\ dd\,\ yyyy"/>
    <numFmt numFmtId="189" formatCode="[$-409]h:mm:ss\ AM/PM"/>
    <numFmt numFmtId="190" formatCode="[$-809]dd\ mmmm\ yyyy"/>
    <numFmt numFmtId="191" formatCode="&quot;$&quot;#,##0,,_);\(&quot;$&quot;#,##0,,\)"/>
  </numFmts>
  <fonts count="5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72" fontId="1" fillId="0" borderId="0" xfId="42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173" fontId="1" fillId="0" borderId="13" xfId="42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0" fontId="1" fillId="0" borderId="12" xfId="0" applyFont="1" applyBorder="1" applyAlignment="1">
      <alignment horizontal="left" indent="1"/>
    </xf>
    <xf numFmtId="173" fontId="1" fillId="0" borderId="12" xfId="42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4" fillId="0" borderId="11" xfId="42" applyNumberFormat="1" applyFont="1" applyBorder="1" applyAlignment="1">
      <alignment/>
    </xf>
    <xf numFmtId="173" fontId="4" fillId="0" borderId="10" xfId="42" applyNumberFormat="1" applyFont="1" applyBorder="1" applyAlignment="1">
      <alignment/>
    </xf>
    <xf numFmtId="173" fontId="4" fillId="0" borderId="13" xfId="42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173" fontId="4" fillId="0" borderId="15" xfId="42" applyNumberFormat="1" applyFont="1" applyBorder="1" applyAlignment="1">
      <alignment/>
    </xf>
    <xf numFmtId="173" fontId="4" fillId="0" borderId="16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42" applyNumberFormat="1" applyFont="1" applyBorder="1" applyAlignment="1">
      <alignment/>
    </xf>
    <xf numFmtId="0" fontId="4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37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left" indent="3"/>
    </xf>
    <xf numFmtId="173" fontId="4" fillId="0" borderId="12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3" fontId="4" fillId="0" borderId="14" xfId="42" applyNumberFormat="1" applyFont="1" applyBorder="1" applyAlignment="1">
      <alignment/>
    </xf>
    <xf numFmtId="0" fontId="1" fillId="0" borderId="13" xfId="0" applyFont="1" applyBorder="1" applyAlignment="1">
      <alignment horizontal="left" indent="2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3" fontId="1" fillId="0" borderId="13" xfId="42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0" fontId="4" fillId="0" borderId="11" xfId="0" applyFont="1" applyBorder="1" applyAlignment="1">
      <alignment wrapText="1"/>
    </xf>
    <xf numFmtId="173" fontId="4" fillId="0" borderId="18" xfId="42" applyNumberFormat="1" applyFont="1" applyBorder="1" applyAlignment="1">
      <alignment/>
    </xf>
    <xf numFmtId="174" fontId="1" fillId="0" borderId="0" xfId="42" applyNumberFormat="1" applyFont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Alignment="1">
      <alignment horizontal="left"/>
    </xf>
    <xf numFmtId="173" fontId="1" fillId="0" borderId="13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5" fillId="0" borderId="0" xfId="59" applyFont="1">
      <alignment/>
      <protection/>
    </xf>
    <xf numFmtId="0" fontId="46" fillId="0" borderId="0" xfId="0" applyFont="1" applyAlignment="1">
      <alignment/>
    </xf>
    <xf numFmtId="0" fontId="5" fillId="0" borderId="0" xfId="59" applyFont="1" applyAlignment="1">
      <alignment/>
      <protection/>
    </xf>
    <xf numFmtId="0" fontId="5" fillId="0" borderId="11" xfId="59" applyFont="1" applyBorder="1" applyAlignment="1">
      <alignment horizontal="center"/>
      <protection/>
    </xf>
    <xf numFmtId="17" fontId="5" fillId="0" borderId="11" xfId="59" applyNumberFormat="1" applyFont="1" applyBorder="1" applyAlignment="1">
      <alignment horizontal="center" vertical="center" wrapText="1"/>
      <protection/>
    </xf>
    <xf numFmtId="172" fontId="5" fillId="0" borderId="11" xfId="44" applyNumberFormat="1" applyFont="1" applyBorder="1" applyAlignment="1">
      <alignment horizontal="center" wrapText="1"/>
    </xf>
    <xf numFmtId="0" fontId="5" fillId="0" borderId="11" xfId="59" applyFont="1" applyBorder="1" applyAlignment="1">
      <alignment horizontal="center" wrapText="1"/>
      <protection/>
    </xf>
    <xf numFmtId="0" fontId="5" fillId="0" borderId="11" xfId="59" applyFont="1" applyFill="1" applyBorder="1" applyAlignment="1">
      <alignment horizontal="center" wrapText="1"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0" fontId="6" fillId="0" borderId="0" xfId="59" applyFont="1">
      <alignment/>
      <protection/>
    </xf>
    <xf numFmtId="172" fontId="5" fillId="0" borderId="20" xfId="44" applyNumberFormat="1" applyFont="1" applyBorder="1" applyAlignment="1">
      <alignment horizontal="center"/>
    </xf>
    <xf numFmtId="172" fontId="5" fillId="0" borderId="20" xfId="44" applyNumberFormat="1" applyFont="1" applyBorder="1" applyAlignment="1">
      <alignment horizontal="right"/>
    </xf>
    <xf numFmtId="0" fontId="5" fillId="0" borderId="2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5" fillId="0" borderId="10" xfId="59" applyFont="1" applyBorder="1">
      <alignment/>
      <protection/>
    </xf>
    <xf numFmtId="0" fontId="46" fillId="0" borderId="10" xfId="0" applyFont="1" applyBorder="1" applyAlignment="1">
      <alignment/>
    </xf>
    <xf numFmtId="0" fontId="46" fillId="0" borderId="19" xfId="0" applyFont="1" applyBorder="1" applyAlignment="1">
      <alignment/>
    </xf>
    <xf numFmtId="0" fontId="7" fillId="0" borderId="13" xfId="59" applyFont="1" applyBorder="1">
      <alignment/>
      <protection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6" fillId="0" borderId="13" xfId="59" applyFont="1" applyBorder="1">
      <alignment/>
      <protection/>
    </xf>
    <xf numFmtId="173" fontId="6" fillId="0" borderId="13" xfId="44" applyNumberFormat="1" applyFont="1" applyBorder="1" applyAlignment="1">
      <alignment horizontal="left" indent="1"/>
    </xf>
    <xf numFmtId="173" fontId="47" fillId="0" borderId="13" xfId="42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173" fontId="46" fillId="0" borderId="13" xfId="42" applyNumberFormat="1" applyFont="1" applyBorder="1" applyAlignment="1">
      <alignment/>
    </xf>
    <xf numFmtId="173" fontId="46" fillId="0" borderId="14" xfId="0" applyNumberFormat="1" applyFont="1" applyBorder="1" applyAlignment="1">
      <alignment/>
    </xf>
    <xf numFmtId="0" fontId="47" fillId="0" borderId="13" xfId="0" applyFont="1" applyBorder="1" applyAlignment="1">
      <alignment horizontal="left"/>
    </xf>
    <xf numFmtId="3" fontId="48" fillId="0" borderId="13" xfId="60" applyNumberFormat="1" applyFont="1" applyBorder="1" applyAlignment="1">
      <alignment vertical="center"/>
      <protection/>
    </xf>
    <xf numFmtId="173" fontId="6" fillId="0" borderId="13" xfId="45" applyNumberFormat="1" applyFont="1" applyBorder="1" applyAlignment="1">
      <alignment/>
    </xf>
    <xf numFmtId="173" fontId="47" fillId="0" borderId="13" xfId="42" applyNumberFormat="1" applyFont="1" applyBorder="1" applyAlignment="1">
      <alignment horizontal="left" indent="3"/>
    </xf>
    <xf numFmtId="173" fontId="49" fillId="0" borderId="13" xfId="42" applyNumberFormat="1" applyFont="1" applyBorder="1" applyAlignment="1">
      <alignment/>
    </xf>
    <xf numFmtId="0" fontId="6" fillId="0" borderId="12" xfId="59" applyFont="1" applyBorder="1">
      <alignment/>
      <protection/>
    </xf>
    <xf numFmtId="173" fontId="47" fillId="0" borderId="12" xfId="42" applyNumberFormat="1" applyFont="1" applyBorder="1" applyAlignment="1">
      <alignment/>
    </xf>
    <xf numFmtId="172" fontId="5" fillId="0" borderId="21" xfId="44" applyNumberFormat="1" applyFont="1" applyBorder="1" applyAlignment="1">
      <alignment/>
    </xf>
    <xf numFmtId="3" fontId="50" fillId="0" borderId="21" xfId="0" applyNumberFormat="1" applyFont="1" applyBorder="1" applyAlignment="1">
      <alignment/>
    </xf>
    <xf numFmtId="173" fontId="50" fillId="0" borderId="21" xfId="0" applyNumberFormat="1" applyFont="1" applyBorder="1" applyAlignment="1">
      <alignment/>
    </xf>
    <xf numFmtId="173" fontId="50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3" fontId="1" fillId="0" borderId="13" xfId="42" applyFont="1" applyBorder="1" applyAlignment="1">
      <alignment/>
    </xf>
    <xf numFmtId="17" fontId="4" fillId="0" borderId="11" xfId="0" applyNumberFormat="1" applyFont="1" applyBorder="1" applyAlignment="1">
      <alignment horizontal="center" vertical="center"/>
    </xf>
    <xf numFmtId="43" fontId="1" fillId="0" borderId="14" xfId="0" applyNumberFormat="1" applyFont="1" applyBorder="1" applyAlignment="1">
      <alignment/>
    </xf>
    <xf numFmtId="187" fontId="1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 horizontal="left" indent="2"/>
    </xf>
    <xf numFmtId="173" fontId="46" fillId="0" borderId="13" xfId="0" applyNumberFormat="1" applyFont="1" applyBorder="1" applyAlignment="1">
      <alignment/>
    </xf>
    <xf numFmtId="17" fontId="4" fillId="0" borderId="10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5" fillId="0" borderId="11" xfId="59" applyFont="1" applyBorder="1" applyAlignment="1">
      <alignment horizontal="center" wrapText="1"/>
      <protection/>
    </xf>
    <xf numFmtId="0" fontId="6" fillId="0" borderId="11" xfId="59" applyFont="1" applyBorder="1" applyAlignment="1">
      <alignment horizontal="center" wrapText="1"/>
      <protection/>
    </xf>
    <xf numFmtId="0" fontId="5" fillId="0" borderId="11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fmacauley\Desktop\Publication%20reports%202013\performance%20reports%20q1q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off%20which%20others%20reports%20q1q2%20june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4%20DATA\FMA\Publication%20reports%202014\off%20which%20others%20reports%20q1q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%20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%20current%20fe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%20current%20marc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performance%20reports%20q1q2-april%20upda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April%20fiscal\off%20which%20others%20reports%20q1q2-april%20upda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2017%20DATA\Fiscal%20Report%20Workings%202017\performance%20reports%20q1q2%20june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0">
          <cell r="B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H3">
            <v>0</v>
          </cell>
        </row>
        <row r="4">
          <cell r="C4">
            <v>1525937552.5</v>
          </cell>
          <cell r="H4">
            <v>2680091826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45440.43432341999</v>
          </cell>
        </row>
        <row r="5">
          <cell r="B5">
            <v>50484.11117113999</v>
          </cell>
        </row>
        <row r="6">
          <cell r="B6">
            <v>13926.623663559996</v>
          </cell>
        </row>
        <row r="7">
          <cell r="B7">
            <v>4562.152893110002</v>
          </cell>
        </row>
        <row r="8">
          <cell r="B8">
            <v>1444.5920257999992</v>
          </cell>
        </row>
        <row r="16">
          <cell r="B16">
            <v>0</v>
          </cell>
        </row>
        <row r="17">
          <cell r="B17">
            <v>-9310.36748976</v>
          </cell>
        </row>
        <row r="18">
          <cell r="B18">
            <v>-16795.44307611</v>
          </cell>
        </row>
        <row r="21">
          <cell r="B21">
            <v>41062.360691499984</v>
          </cell>
        </row>
        <row r="24">
          <cell r="B24">
            <v>-3015.56530265</v>
          </cell>
        </row>
        <row r="25">
          <cell r="B25">
            <v>-253.237311</v>
          </cell>
        </row>
        <row r="26">
          <cell r="B26">
            <v>-2632.898674</v>
          </cell>
        </row>
        <row r="29">
          <cell r="B29">
            <v>-1185.576</v>
          </cell>
        </row>
        <row r="30">
          <cell r="B30">
            <v>-14841.58182343</v>
          </cell>
        </row>
        <row r="31">
          <cell r="B31">
            <v>-10384.95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>
            <v>41020.37806496999</v>
          </cell>
        </row>
        <row r="5">
          <cell r="C5">
            <v>61868.90742561</v>
          </cell>
        </row>
        <row r="6">
          <cell r="C6">
            <v>10230.67289491</v>
          </cell>
        </row>
        <row r="7">
          <cell r="C7">
            <v>10164.067368879998</v>
          </cell>
        </row>
        <row r="8">
          <cell r="C8">
            <v>6703.847143999998</v>
          </cell>
        </row>
        <row r="12">
          <cell r="D12">
            <v>-896.29499968</v>
          </cell>
        </row>
        <row r="16">
          <cell r="C16">
            <v>-19579.2249</v>
          </cell>
        </row>
        <row r="17">
          <cell r="C17">
            <v>-9994.26958765</v>
          </cell>
        </row>
        <row r="18">
          <cell r="C18">
            <v>-108045.89782950001</v>
          </cell>
        </row>
        <row r="21">
          <cell r="C21">
            <v>112776.86560540002</v>
          </cell>
        </row>
        <row r="24">
          <cell r="C24">
            <v>-4823.89683491</v>
          </cell>
        </row>
        <row r="25">
          <cell r="C25">
            <v>0</v>
          </cell>
        </row>
        <row r="26">
          <cell r="C26">
            <v>-63869.021881</v>
          </cell>
        </row>
        <row r="28">
          <cell r="C28">
            <v>-5874.601854409998</v>
          </cell>
        </row>
        <row r="29">
          <cell r="C29">
            <v>-7196.1941110200005</v>
          </cell>
        </row>
        <row r="30">
          <cell r="C30">
            <v>30765.42546731</v>
          </cell>
        </row>
        <row r="31">
          <cell r="C31">
            <v>-4813.7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77889.35323408003</v>
          </cell>
          <cell r="C3">
            <v>85636.97829807001</v>
          </cell>
        </row>
        <row r="9">
          <cell r="B9">
            <v>23514.3338777</v>
          </cell>
          <cell r="C9">
            <v>20440.585177260004</v>
          </cell>
        </row>
        <row r="10">
          <cell r="B10">
            <v>9310.36748976</v>
          </cell>
          <cell r="C10">
            <v>9994.26958765</v>
          </cell>
        </row>
        <row r="14">
          <cell r="B14">
            <v>-168774.03092142002</v>
          </cell>
          <cell r="C14">
            <v>-152130.10054739998</v>
          </cell>
        </row>
        <row r="15">
          <cell r="B15">
            <v>-32546.744112089993</v>
          </cell>
        </row>
        <row r="17">
          <cell r="B17">
            <v>-9310.36748976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D4">
            <v>45094.73970988</v>
          </cell>
        </row>
        <row r="5">
          <cell r="D5">
            <v>65502.063773149996</v>
          </cell>
        </row>
        <row r="6">
          <cell r="D6">
            <v>6761.3978425000005</v>
          </cell>
        </row>
        <row r="7">
          <cell r="D7">
            <v>8697.241678</v>
          </cell>
        </row>
        <row r="8">
          <cell r="D8">
            <v>28426.64470995</v>
          </cell>
        </row>
        <row r="9">
          <cell r="D9">
            <v>15177.210930820002</v>
          </cell>
        </row>
        <row r="10">
          <cell r="D10">
            <v>0</v>
          </cell>
        </row>
        <row r="15">
          <cell r="D15">
            <v>-160356.31266806</v>
          </cell>
        </row>
        <row r="16">
          <cell r="D16">
            <v>-45</v>
          </cell>
        </row>
        <row r="17">
          <cell r="D17">
            <v>0</v>
          </cell>
        </row>
        <row r="18">
          <cell r="D18">
            <v>-85120.66539899999</v>
          </cell>
        </row>
        <row r="21">
          <cell r="D21">
            <v>-42177.59871389999</v>
          </cell>
        </row>
        <row r="23">
          <cell r="D23">
            <v>-39243.636037059994</v>
          </cell>
        </row>
        <row r="24">
          <cell r="D24">
            <v>-3879.96712435</v>
          </cell>
        </row>
        <row r="25">
          <cell r="D25">
            <v>-127.65315000000001</v>
          </cell>
        </row>
        <row r="26">
          <cell r="D26">
            <v>-44905.393548</v>
          </cell>
        </row>
        <row r="28">
          <cell r="B28">
            <v>147603.92045879998</v>
          </cell>
          <cell r="D28">
            <v>-10073.872721340002</v>
          </cell>
        </row>
        <row r="29">
          <cell r="D29">
            <v>-11600.13930251</v>
          </cell>
        </row>
        <row r="30">
          <cell r="D30">
            <v>93736.52984924</v>
          </cell>
        </row>
        <row r="31">
          <cell r="D31">
            <v>-3998.65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107305.66216584003</v>
          </cell>
          <cell r="F3">
            <v>72458.89671985999</v>
          </cell>
        </row>
        <row r="4">
          <cell r="F4">
            <v>40026.4282627</v>
          </cell>
          <cell r="G4">
            <v>45328.228164780005</v>
          </cell>
        </row>
        <row r="5">
          <cell r="F5">
            <v>53369.30978571</v>
          </cell>
          <cell r="G5">
            <v>61839.00880355001</v>
          </cell>
        </row>
        <row r="6">
          <cell r="F6">
            <v>9297.32243411</v>
          </cell>
          <cell r="G6">
            <v>22737.031449340004</v>
          </cell>
        </row>
        <row r="7">
          <cell r="F7">
            <v>10808.9140295</v>
          </cell>
          <cell r="G7">
            <v>9220.292444810002</v>
          </cell>
        </row>
        <row r="8">
          <cell r="F8">
            <v>6634.395588830001</v>
          </cell>
          <cell r="G8">
            <v>2535.51702968</v>
          </cell>
        </row>
        <row r="9">
          <cell r="F9">
            <v>27408.204077990005</v>
          </cell>
          <cell r="G9">
            <v>22946.48583958</v>
          </cell>
        </row>
        <row r="10">
          <cell r="F10">
            <v>0</v>
          </cell>
          <cell r="G10">
            <v>0</v>
          </cell>
        </row>
        <row r="12">
          <cell r="B12">
            <v>1339.7008799999999</v>
          </cell>
          <cell r="D12">
            <v>1227.53012815</v>
          </cell>
          <cell r="F12">
            <v>2117.6440284</v>
          </cell>
          <cell r="G12">
            <v>0</v>
          </cell>
        </row>
        <row r="14">
          <cell r="D14">
            <v>-158294.43820914996</v>
          </cell>
          <cell r="F14">
            <v>-156221.21043706</v>
          </cell>
          <cell r="G14">
            <v>-146797.72680302</v>
          </cell>
        </row>
        <row r="15">
          <cell r="F15">
            <v>-232450.09703137</v>
          </cell>
          <cell r="G15">
            <v>-131733.96400639002</v>
          </cell>
        </row>
        <row r="16">
          <cell r="F16">
            <v>-80</v>
          </cell>
          <cell r="G16">
            <v>-20300.5719</v>
          </cell>
        </row>
        <row r="17">
          <cell r="F17">
            <v>0</v>
          </cell>
          <cell r="G17">
            <v>0</v>
          </cell>
        </row>
        <row r="18">
          <cell r="F18">
            <v>-54305.5892805</v>
          </cell>
          <cell r="G18">
            <v>-3681.538472</v>
          </cell>
        </row>
        <row r="20">
          <cell r="D20">
            <v>2428.0971992200007</v>
          </cell>
          <cell r="F20">
            <v>-1425.6771904499992</v>
          </cell>
        </row>
        <row r="21">
          <cell r="F21">
            <v>155363.94679600006</v>
          </cell>
        </row>
        <row r="23">
          <cell r="B23">
            <v>-28202.254786160003</v>
          </cell>
          <cell r="C23">
            <v>-46679.24746769001</v>
          </cell>
          <cell r="F23">
            <v>-57241.496244589995</v>
          </cell>
          <cell r="G23">
            <v>-36692.99949185</v>
          </cell>
        </row>
        <row r="24">
          <cell r="F24">
            <v>-6917.918731249998</v>
          </cell>
        </row>
        <row r="25">
          <cell r="F25">
            <v>0</v>
          </cell>
          <cell r="G25">
            <v>0</v>
          </cell>
        </row>
        <row r="26">
          <cell r="F26">
            <v>-980</v>
          </cell>
        </row>
        <row r="28">
          <cell r="F28">
            <v>19414.835862599986</v>
          </cell>
          <cell r="G28">
            <v>-18784.250242439997</v>
          </cell>
        </row>
        <row r="29">
          <cell r="F29">
            <v>-30414.25818427</v>
          </cell>
        </row>
        <row r="30">
          <cell r="F30">
            <v>57049.09263249</v>
          </cell>
          <cell r="G30">
            <v>62182.74070897</v>
          </cell>
        </row>
        <row r="31">
          <cell r="F31">
            <v>-5649.55</v>
          </cell>
          <cell r="G31">
            <v>42266.15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0</v>
          </cell>
        </row>
        <row r="3">
          <cell r="C3">
            <v>19090000000</v>
          </cell>
          <cell r="D3">
            <v>0</v>
          </cell>
          <cell r="E3">
            <v>19090000000</v>
          </cell>
          <cell r="G3">
            <v>469975000</v>
          </cell>
        </row>
        <row r="4">
          <cell r="F4">
            <v>9334476000.5</v>
          </cell>
          <cell r="G4">
            <v>22055936849</v>
          </cell>
        </row>
        <row r="5">
          <cell r="C5">
            <v>5000000000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G3">
            <v>95901.08671864</v>
          </cell>
          <cell r="H3">
            <v>128544.48829367003</v>
          </cell>
        </row>
        <row r="4">
          <cell r="H4">
            <v>42379.22721452</v>
          </cell>
        </row>
        <row r="5">
          <cell r="H5">
            <v>64646.35750625002</v>
          </cell>
        </row>
        <row r="6">
          <cell r="H6">
            <v>17763.400460179997</v>
          </cell>
        </row>
        <row r="7">
          <cell r="H7">
            <v>1861.47655523</v>
          </cell>
        </row>
        <row r="8">
          <cell r="H8">
            <v>1512.8633939999995</v>
          </cell>
        </row>
        <row r="9">
          <cell r="H9">
            <v>25663.297979839997</v>
          </cell>
        </row>
        <row r="10">
          <cell r="H10">
            <v>0</v>
          </cell>
        </row>
        <row r="12">
          <cell r="H12">
            <v>0</v>
          </cell>
        </row>
        <row r="14">
          <cell r="H14">
            <v>-146977.98906782</v>
          </cell>
        </row>
        <row r="15">
          <cell r="C15">
            <v>-99367.85814536</v>
          </cell>
          <cell r="H15">
            <v>-34142.50867711999</v>
          </cell>
        </row>
        <row r="16">
          <cell r="C16">
            <v>-19579.2249</v>
          </cell>
          <cell r="H16">
            <v>-323.6</v>
          </cell>
        </row>
        <row r="17">
          <cell r="C17">
            <v>-9994.26958765</v>
          </cell>
          <cell r="H17">
            <v>0</v>
          </cell>
        </row>
        <row r="18">
          <cell r="H18">
            <v>-106923.36972143</v>
          </cell>
        </row>
        <row r="20">
          <cell r="B20">
            <v>-50988.894792100014</v>
          </cell>
          <cell r="C20">
            <v>-39727.718095079996</v>
          </cell>
          <cell r="G20">
            <v>733.9176891800015</v>
          </cell>
          <cell r="H20">
            <v>-17772.02224944</v>
          </cell>
        </row>
        <row r="21">
          <cell r="G21">
            <v>-25551.450063799974</v>
          </cell>
          <cell r="H21">
            <v>-33293.000019600004</v>
          </cell>
        </row>
        <row r="23">
          <cell r="H23">
            <v>-57499.03783031</v>
          </cell>
        </row>
        <row r="24">
          <cell r="G24">
            <v>-3424.26769668</v>
          </cell>
          <cell r="H24">
            <v>0</v>
          </cell>
        </row>
        <row r="25">
          <cell r="H25">
            <v>-130.21905299999983</v>
          </cell>
        </row>
        <row r="26">
          <cell r="G26">
            <v>-321.39</v>
          </cell>
          <cell r="H26">
            <v>-176.021</v>
          </cell>
        </row>
        <row r="28">
          <cell r="H28">
            <v>1343.8954836300015</v>
          </cell>
        </row>
        <row r="29">
          <cell r="G29">
            <v>-7858.846929020001</v>
          </cell>
          <cell r="H29">
            <v>0</v>
          </cell>
        </row>
        <row r="30">
          <cell r="H30">
            <v>69238.46100765</v>
          </cell>
        </row>
        <row r="31">
          <cell r="H31">
            <v>-2194.6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36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7.7109375" style="3" customWidth="1"/>
    <col min="2" max="2" width="15.8515625" style="3" customWidth="1"/>
    <col min="3" max="3" width="12.28125" style="3" hidden="1" customWidth="1"/>
    <col min="4" max="4" width="14.8515625" style="3" hidden="1" customWidth="1"/>
    <col min="5" max="5" width="17.00390625" style="3" hidden="1" customWidth="1"/>
    <col min="6" max="6" width="13.421875" style="3" hidden="1" customWidth="1"/>
    <col min="7" max="7" width="14.8515625" style="3" customWidth="1"/>
    <col min="8" max="8" width="12.7109375" style="3" customWidth="1"/>
    <col min="9" max="9" width="14.140625" style="3" customWidth="1"/>
    <col min="10" max="10" width="10.140625" style="3" hidden="1" customWidth="1"/>
    <col min="11" max="11" width="9.8515625" style="3" hidden="1" customWidth="1"/>
    <col min="12" max="12" width="10.28125" style="3" hidden="1" customWidth="1"/>
    <col min="13" max="13" width="8.140625" style="3" hidden="1" customWidth="1"/>
    <col min="14" max="16384" width="9.140625" style="3" customWidth="1"/>
  </cols>
  <sheetData>
    <row r="1" ht="16.5" customHeight="1">
      <c r="A1" s="2" t="s">
        <v>47</v>
      </c>
    </row>
    <row r="2" ht="9" customHeight="1"/>
    <row r="3" spans="1:3" ht="60" customHeight="1">
      <c r="A3" s="119" t="s">
        <v>109</v>
      </c>
      <c r="B3" s="119"/>
      <c r="C3" s="119"/>
    </row>
    <row r="4" spans="1:3" ht="12">
      <c r="A4" s="4"/>
      <c r="B4" s="5"/>
      <c r="C4" s="5"/>
    </row>
    <row r="5" spans="1:3" ht="15.75" customHeight="1">
      <c r="A5" s="120" t="s">
        <v>51</v>
      </c>
      <c r="B5" s="120"/>
      <c r="C5" s="120"/>
    </row>
    <row r="6" spans="1:2" ht="15.75" customHeight="1">
      <c r="A6" s="121" t="s">
        <v>110</v>
      </c>
      <c r="B6" s="121"/>
    </row>
    <row r="7" ht="15" customHeight="1">
      <c r="A7" s="6"/>
    </row>
    <row r="8" spans="1:13" ht="56.25" customHeight="1">
      <c r="A8" s="7"/>
      <c r="B8" s="8" t="s">
        <v>48</v>
      </c>
      <c r="C8" s="8" t="s">
        <v>74</v>
      </c>
      <c r="D8" s="8" t="s">
        <v>74</v>
      </c>
      <c r="E8" s="114" t="s">
        <v>74</v>
      </c>
      <c r="F8" s="115"/>
      <c r="G8" s="122" t="s">
        <v>74</v>
      </c>
      <c r="H8" s="123"/>
      <c r="I8" s="124"/>
      <c r="J8" s="115"/>
      <c r="K8" s="115"/>
      <c r="L8" s="115"/>
      <c r="M8" s="116"/>
    </row>
    <row r="9" spans="1:13" ht="51" customHeight="1">
      <c r="A9" s="9"/>
      <c r="B9" s="10" t="s">
        <v>71</v>
      </c>
      <c r="C9" s="11">
        <v>42736</v>
      </c>
      <c r="D9" s="11">
        <v>42767</v>
      </c>
      <c r="E9" s="11" t="s">
        <v>75</v>
      </c>
      <c r="F9" s="11">
        <v>42795</v>
      </c>
      <c r="G9" s="11" t="s">
        <v>76</v>
      </c>
      <c r="H9" s="104">
        <v>42826</v>
      </c>
      <c r="I9" s="11" t="s">
        <v>98</v>
      </c>
      <c r="J9" s="104">
        <v>42856</v>
      </c>
      <c r="K9" s="11" t="s">
        <v>101</v>
      </c>
      <c r="L9" s="104">
        <v>42887</v>
      </c>
      <c r="M9" s="11" t="s">
        <v>107</v>
      </c>
    </row>
    <row r="10" spans="1:13" s="6" customFormat="1" ht="15.75" customHeight="1">
      <c r="A10" s="12"/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</row>
    <row r="11" spans="1:13" ht="15.75" customHeight="1">
      <c r="A11" s="14"/>
      <c r="B11" s="15"/>
      <c r="C11" s="15"/>
      <c r="D11" s="12"/>
      <c r="E11" s="16"/>
      <c r="F11" s="12"/>
      <c r="G11" s="16"/>
      <c r="H11" s="12"/>
      <c r="I11" s="16"/>
      <c r="J11" s="12"/>
      <c r="K11" s="16"/>
      <c r="L11" s="12"/>
      <c r="M11" s="12"/>
    </row>
    <row r="12" spans="1:13" ht="15.75" customHeight="1">
      <c r="A12" s="12"/>
      <c r="B12" s="15"/>
      <c r="C12" s="15"/>
      <c r="D12" s="12"/>
      <c r="E12" s="16"/>
      <c r="F12" s="12"/>
      <c r="G12" s="16"/>
      <c r="H12" s="12"/>
      <c r="I12" s="16"/>
      <c r="J12" s="12"/>
      <c r="K12" s="16"/>
      <c r="L12" s="12"/>
      <c r="M12" s="12"/>
    </row>
    <row r="13" spans="1:13" ht="15.75" customHeight="1">
      <c r="A13" s="14" t="s">
        <v>1</v>
      </c>
      <c r="B13" s="12"/>
      <c r="C13" s="12"/>
      <c r="D13" s="12"/>
      <c r="E13" s="16"/>
      <c r="F13" s="12"/>
      <c r="G13" s="16"/>
      <c r="H13" s="103"/>
      <c r="I13" s="16"/>
      <c r="J13" s="12"/>
      <c r="K13" s="16"/>
      <c r="L13" s="12"/>
      <c r="M13" s="12"/>
    </row>
    <row r="14" spans="1:13" ht="15.75" customHeight="1">
      <c r="A14" s="17" t="s">
        <v>2</v>
      </c>
      <c r="B14" s="18">
        <v>1261266</v>
      </c>
      <c r="C14" s="18">
        <f>'[5]Sheet1'!$B$3</f>
        <v>77889.35323408003</v>
      </c>
      <c r="D14" s="19">
        <f>'[5]Sheet1'!$C$3</f>
        <v>85636.97829807001</v>
      </c>
      <c r="E14" s="20">
        <f aca="true" t="shared" si="0" ref="E14:E20">C14+D14</f>
        <v>163526.33153215004</v>
      </c>
      <c r="F14" s="19">
        <f>'[7]Sheet1'!$D$3</f>
        <v>107305.66216584003</v>
      </c>
      <c r="G14" s="20">
        <f aca="true" t="shared" si="1" ref="G14:G20">E14+F14</f>
        <v>270831.9936979901</v>
      </c>
      <c r="H14" s="20">
        <f>'[7]Sheet1'!$F$3</f>
        <v>72458.89671985999</v>
      </c>
      <c r="I14" s="20">
        <f aca="true" t="shared" si="2" ref="I14:I20">G14+H14</f>
        <v>343290.89041785005</v>
      </c>
      <c r="J14" s="19">
        <f>'[9]Sheet1'!$G$3</f>
        <v>95901.08671864</v>
      </c>
      <c r="K14" s="20">
        <f aca="true" t="shared" si="3" ref="K14:K20">J14+I14</f>
        <v>439191.97713649005</v>
      </c>
      <c r="L14" s="19">
        <f>'[9]Sheet1'!$H$3</f>
        <v>128544.48829367003</v>
      </c>
      <c r="M14" s="60">
        <f>K14+L14</f>
        <v>567736.46543016</v>
      </c>
    </row>
    <row r="15" spans="1:13" ht="15.75" customHeight="1">
      <c r="A15" s="17" t="s">
        <v>3</v>
      </c>
      <c r="B15" s="18">
        <v>1036855</v>
      </c>
      <c r="C15" s="18">
        <f>'[3]Sheet1'!$B$4</f>
        <v>45440.43432341999</v>
      </c>
      <c r="D15" s="19">
        <f>'[4]Sheet1'!$C$4</f>
        <v>41020.37806496999</v>
      </c>
      <c r="E15" s="20">
        <f t="shared" si="0"/>
        <v>86460.81238838998</v>
      </c>
      <c r="F15" s="19">
        <f>'[6]Sheet1'!$D$4</f>
        <v>45094.73970988</v>
      </c>
      <c r="G15" s="20">
        <f t="shared" si="1"/>
        <v>131555.55209826998</v>
      </c>
      <c r="H15" s="20">
        <f>'[7]Sheet1'!$F$4</f>
        <v>40026.4282627</v>
      </c>
      <c r="I15" s="20">
        <f t="shared" si="2"/>
        <v>171581.98036097</v>
      </c>
      <c r="J15" s="19">
        <f>'[7]Sheet1'!$G$4</f>
        <v>45328.228164780005</v>
      </c>
      <c r="K15" s="20">
        <f t="shared" si="3"/>
        <v>216910.20852575</v>
      </c>
      <c r="L15" s="19">
        <f>'[9]Sheet1'!$H$4</f>
        <v>42379.22721452</v>
      </c>
      <c r="M15" s="60">
        <f>K15+L15</f>
        <v>259289.43574027</v>
      </c>
    </row>
    <row r="16" spans="1:13" ht="15.75" customHeight="1">
      <c r="A16" s="17" t="s">
        <v>66</v>
      </c>
      <c r="B16" s="18">
        <v>829213</v>
      </c>
      <c r="C16" s="18">
        <f>'[3]Sheet1'!$B$5</f>
        <v>50484.11117113999</v>
      </c>
      <c r="D16" s="19">
        <f>'[4]Sheet1'!$C$5</f>
        <v>61868.90742561</v>
      </c>
      <c r="E16" s="20">
        <f t="shared" si="0"/>
        <v>112353.01859674999</v>
      </c>
      <c r="F16" s="19">
        <f>'[6]Sheet1'!$D$5</f>
        <v>65502.063773149996</v>
      </c>
      <c r="G16" s="20">
        <f t="shared" si="1"/>
        <v>177855.0823699</v>
      </c>
      <c r="H16" s="19">
        <f>'[7]Sheet1'!$F$5</f>
        <v>53369.30978571</v>
      </c>
      <c r="I16" s="20">
        <f t="shared" si="2"/>
        <v>231224.39215561</v>
      </c>
      <c r="J16" s="19">
        <f>'[7]Sheet1'!$G$5</f>
        <v>61839.00880355001</v>
      </c>
      <c r="K16" s="20">
        <f t="shared" si="3"/>
        <v>293063.40095916</v>
      </c>
      <c r="L16" s="19">
        <f>'[9]Sheet1'!$H$5</f>
        <v>64646.35750625002</v>
      </c>
      <c r="M16" s="60">
        <f>K16+L16</f>
        <v>357709.75846541004</v>
      </c>
    </row>
    <row r="17" spans="1:13" ht="15.75" customHeight="1">
      <c r="A17" s="17" t="s">
        <v>4</v>
      </c>
      <c r="B17" s="18">
        <v>167567</v>
      </c>
      <c r="C17" s="18">
        <f>'[3]Sheet1'!$B$6</f>
        <v>13926.623663559996</v>
      </c>
      <c r="D17" s="19">
        <f>'[4]Sheet1'!$C$6</f>
        <v>10230.67289491</v>
      </c>
      <c r="E17" s="20">
        <f t="shared" si="0"/>
        <v>24157.296558469996</v>
      </c>
      <c r="F17" s="19">
        <f>'[6]Sheet1'!$D$6</f>
        <v>6761.3978425000005</v>
      </c>
      <c r="G17" s="20">
        <f t="shared" si="1"/>
        <v>30918.694400969995</v>
      </c>
      <c r="H17" s="19">
        <f>'[7]Sheet1'!$F$6</f>
        <v>9297.32243411</v>
      </c>
      <c r="I17" s="20">
        <f t="shared" si="2"/>
        <v>40216.016835079994</v>
      </c>
      <c r="J17" s="19">
        <f>'[7]Sheet1'!$G$6</f>
        <v>22737.031449340004</v>
      </c>
      <c r="K17" s="20">
        <f t="shared" si="3"/>
        <v>62953.04828442</v>
      </c>
      <c r="L17" s="19">
        <f>'[9]Sheet1'!$H$6</f>
        <v>17763.400460179997</v>
      </c>
      <c r="M17" s="20">
        <f>L17+K17</f>
        <v>80716.4487446</v>
      </c>
    </row>
    <row r="18" spans="1:13" ht="15.75" customHeight="1">
      <c r="A18" s="17" t="s">
        <v>5</v>
      </c>
      <c r="B18" s="18"/>
      <c r="C18" s="18">
        <f>'[3]Sheet1'!$B$7</f>
        <v>4562.152893110002</v>
      </c>
      <c r="D18" s="19">
        <f>'[4]Sheet1'!$C$7</f>
        <v>10164.067368879998</v>
      </c>
      <c r="E18" s="20">
        <f t="shared" si="0"/>
        <v>14726.22026199</v>
      </c>
      <c r="F18" s="19">
        <f>'[6]Sheet1'!$D$7</f>
        <v>8697.241678</v>
      </c>
      <c r="G18" s="20">
        <f t="shared" si="1"/>
        <v>23423.46193999</v>
      </c>
      <c r="H18" s="19">
        <f>'[7]Sheet1'!$F$7</f>
        <v>10808.9140295</v>
      </c>
      <c r="I18" s="20">
        <f t="shared" si="2"/>
        <v>34232.37596949</v>
      </c>
      <c r="J18" s="19">
        <f>'[7]Sheet1'!$G$7</f>
        <v>9220.292444810002</v>
      </c>
      <c r="K18" s="20">
        <f t="shared" si="3"/>
        <v>43452.6684143</v>
      </c>
      <c r="L18" s="19">
        <f>'[9]Sheet1'!$H$7</f>
        <v>1861.47655523</v>
      </c>
      <c r="M18" s="20">
        <f>L18+K18</f>
        <v>45314.14496953</v>
      </c>
    </row>
    <row r="19" spans="1:13" ht="15.75" customHeight="1">
      <c r="A19" s="17" t="s">
        <v>6</v>
      </c>
      <c r="B19" s="18">
        <v>173096</v>
      </c>
      <c r="C19" s="21">
        <f>'[3]Sheet1'!$B$8</f>
        <v>1444.5920257999992</v>
      </c>
      <c r="D19" s="19">
        <f>'[4]Sheet1'!$C$8</f>
        <v>6703.847143999998</v>
      </c>
      <c r="E19" s="20">
        <f t="shared" si="0"/>
        <v>8148.439169799996</v>
      </c>
      <c r="F19" s="19">
        <f>'[6]Sheet1'!$D$8</f>
        <v>28426.64470995</v>
      </c>
      <c r="G19" s="20">
        <f t="shared" si="1"/>
        <v>36575.08387975</v>
      </c>
      <c r="H19" s="19">
        <f>'[7]Sheet1'!$F$8</f>
        <v>6634.395588830001</v>
      </c>
      <c r="I19" s="20">
        <f t="shared" si="2"/>
        <v>43209.47946858</v>
      </c>
      <c r="J19" s="19">
        <f>'[7]Sheet1'!$G$8</f>
        <v>2535.51702968</v>
      </c>
      <c r="K19" s="20">
        <f t="shared" si="3"/>
        <v>45744.99649826</v>
      </c>
      <c r="L19" s="19">
        <f>'[9]Sheet1'!$H$8</f>
        <v>1512.8633939999995</v>
      </c>
      <c r="M19" s="20">
        <f>L19+K19</f>
        <v>47257.85989226</v>
      </c>
    </row>
    <row r="20" spans="1:13" ht="15.75" customHeight="1">
      <c r="A20" s="22" t="s">
        <v>50</v>
      </c>
      <c r="B20" s="23">
        <v>128101</v>
      </c>
      <c r="C20" s="23">
        <f>'[5]Sheet1'!$B$9+'[5]Sheet1'!$B$10</f>
        <v>32824.70136746</v>
      </c>
      <c r="D20" s="24">
        <f>'[5]Sheet1'!$C$9+'[5]Sheet1'!$C$10</f>
        <v>30434.854764910004</v>
      </c>
      <c r="E20" s="20">
        <f t="shared" si="0"/>
        <v>63259.55613237001</v>
      </c>
      <c r="F20" s="24">
        <f>'[6]Sheet1'!$D$9+'[6]Sheet1'!$D$10</f>
        <v>15177.210930820002</v>
      </c>
      <c r="G20" s="20">
        <f t="shared" si="1"/>
        <v>78436.76706319001</v>
      </c>
      <c r="H20" s="24">
        <f>'[7]Sheet1'!$F$9+'[7]Sheet1'!$F$10</f>
        <v>27408.204077990005</v>
      </c>
      <c r="I20" s="20">
        <f t="shared" si="2"/>
        <v>105844.97114118002</v>
      </c>
      <c r="J20" s="24">
        <f>'[7]Sheet1'!$G$9+'[7]Sheet1'!$G$10</f>
        <v>22946.48583958</v>
      </c>
      <c r="K20" s="20">
        <f t="shared" si="3"/>
        <v>128791.45698076002</v>
      </c>
      <c r="L20" s="19">
        <f>'[9]Sheet1'!$H$9+'[9]Sheet1'!$H$10</f>
        <v>25663.297979839997</v>
      </c>
      <c r="M20" s="20">
        <f>L20+K20</f>
        <v>154454.75496060002</v>
      </c>
    </row>
    <row r="21" spans="1:13" ht="15.75" customHeight="1">
      <c r="A21" s="25" t="s">
        <v>8</v>
      </c>
      <c r="B21" s="26">
        <f aca="true" t="shared" si="4" ref="B21:M21">SUM(B14:B20)</f>
        <v>3596098</v>
      </c>
      <c r="C21" s="26">
        <f t="shared" si="4"/>
        <v>226571.96867857</v>
      </c>
      <c r="D21" s="26">
        <f t="shared" si="4"/>
        <v>246059.70596135</v>
      </c>
      <c r="E21" s="26">
        <f t="shared" si="4"/>
        <v>472631.67463992</v>
      </c>
      <c r="F21" s="26">
        <f t="shared" si="4"/>
        <v>276964.96081014</v>
      </c>
      <c r="G21" s="26">
        <f t="shared" si="4"/>
        <v>749596.6354500601</v>
      </c>
      <c r="H21" s="26">
        <f t="shared" si="4"/>
        <v>220003.4708987</v>
      </c>
      <c r="I21" s="26">
        <f t="shared" si="4"/>
        <v>969600.1063487601</v>
      </c>
      <c r="J21" s="26">
        <f t="shared" si="4"/>
        <v>260507.65045038002</v>
      </c>
      <c r="K21" s="26">
        <f t="shared" si="4"/>
        <v>1230107.75679914</v>
      </c>
      <c r="L21" s="26">
        <f t="shared" si="4"/>
        <v>282371.11140369007</v>
      </c>
      <c r="M21" s="26">
        <f t="shared" si="4"/>
        <v>1512478.86820283</v>
      </c>
    </row>
    <row r="22" spans="1:13" ht="15.75" customHeight="1">
      <c r="A22" s="7"/>
      <c r="B22" s="27"/>
      <c r="C22" s="28"/>
      <c r="D22" s="7"/>
      <c r="E22" s="16"/>
      <c r="F22" s="7"/>
      <c r="G22" s="51"/>
      <c r="H22" s="7"/>
      <c r="I22" s="51"/>
      <c r="J22" s="7"/>
      <c r="K22" s="51"/>
      <c r="L22" s="12"/>
      <c r="M22" s="7"/>
    </row>
    <row r="23" spans="1:13" ht="15.75" customHeight="1">
      <c r="A23" s="29" t="s">
        <v>9</v>
      </c>
      <c r="B23" s="28"/>
      <c r="C23" s="28"/>
      <c r="D23" s="12"/>
      <c r="E23" s="16"/>
      <c r="F23" s="12"/>
      <c r="G23" s="16"/>
      <c r="H23" s="12"/>
      <c r="I23" s="16"/>
      <c r="J23" s="12"/>
      <c r="K23" s="16"/>
      <c r="L23" s="12"/>
      <c r="M23" s="12"/>
    </row>
    <row r="24" spans="1:13" ht="15.75" customHeight="1">
      <c r="A24" s="30" t="s">
        <v>10</v>
      </c>
      <c r="B24" s="18">
        <v>0</v>
      </c>
      <c r="C24" s="18">
        <f>'[7]Sheet1'!$B$12</f>
        <v>1339.7008799999999</v>
      </c>
      <c r="D24" s="19">
        <f>-'[4]Sheet1'!$D$12</f>
        <v>896.29499968</v>
      </c>
      <c r="E24" s="20">
        <f aca="true" t="shared" si="5" ref="E24:E30">C24+D24</f>
        <v>2235.99587968</v>
      </c>
      <c r="F24" s="19">
        <f>'[7]Sheet1'!$D$12</f>
        <v>1227.53012815</v>
      </c>
      <c r="G24" s="20">
        <f aca="true" t="shared" si="6" ref="G24:G30">E24+F24</f>
        <v>3463.5260078300003</v>
      </c>
      <c r="H24" s="19">
        <f>'[7]Sheet1'!$F$12</f>
        <v>2117.6440284</v>
      </c>
      <c r="I24" s="20">
        <f aca="true" t="shared" si="7" ref="I24:I30">G24+H24</f>
        <v>5581.17003623</v>
      </c>
      <c r="J24" s="20">
        <f>'[7]Sheet1'!$G$12</f>
        <v>0</v>
      </c>
      <c r="K24" s="20">
        <f aca="true" t="shared" si="8" ref="K24:K30">J24+I24</f>
        <v>5581.17003623</v>
      </c>
      <c r="L24" s="20">
        <f>'[9]Sheet1'!$H$12</f>
        <v>0</v>
      </c>
      <c r="M24" s="20">
        <f aca="true" t="shared" si="9" ref="M24:M30">L24+K24</f>
        <v>5581.17003623</v>
      </c>
    </row>
    <row r="25" spans="1:13" ht="15.75" customHeight="1">
      <c r="A25" s="30" t="s">
        <v>69</v>
      </c>
      <c r="B25" s="18">
        <v>0</v>
      </c>
      <c r="C25" s="18">
        <v>0</v>
      </c>
      <c r="D25" s="18">
        <v>0</v>
      </c>
      <c r="E25" s="20">
        <f t="shared" si="5"/>
        <v>0</v>
      </c>
      <c r="F25" s="18">
        <v>0</v>
      </c>
      <c r="G25" s="20">
        <f t="shared" si="6"/>
        <v>0</v>
      </c>
      <c r="H25" s="20">
        <v>0</v>
      </c>
      <c r="I25" s="20">
        <f t="shared" si="7"/>
        <v>0</v>
      </c>
      <c r="J25" s="20">
        <f>'[7]Sheet1'!$G$12</f>
        <v>0</v>
      </c>
      <c r="K25" s="20">
        <f t="shared" si="8"/>
        <v>0</v>
      </c>
      <c r="L25" s="20">
        <f>'[9]Sheet1'!$H$12</f>
        <v>0</v>
      </c>
      <c r="M25" s="20">
        <f t="shared" si="9"/>
        <v>0</v>
      </c>
    </row>
    <row r="26" spans="1:13" ht="12">
      <c r="A26" s="30" t="s">
        <v>52</v>
      </c>
      <c r="B26" s="18">
        <v>464400</v>
      </c>
      <c r="C26" s="18">
        <v>0</v>
      </c>
      <c r="D26" s="18">
        <v>0</v>
      </c>
      <c r="E26" s="20">
        <f t="shared" si="5"/>
        <v>0</v>
      </c>
      <c r="F26" s="18">
        <v>0</v>
      </c>
      <c r="G26" s="20">
        <f t="shared" si="6"/>
        <v>0</v>
      </c>
      <c r="H26" s="20">
        <v>0</v>
      </c>
      <c r="I26" s="20">
        <f t="shared" si="7"/>
        <v>0</v>
      </c>
      <c r="J26" s="20">
        <f>'[7]Sheet1'!$G$12</f>
        <v>0</v>
      </c>
      <c r="K26" s="20">
        <f t="shared" si="8"/>
        <v>0</v>
      </c>
      <c r="L26" s="20">
        <f>'[9]Sheet1'!$H$12</f>
        <v>0</v>
      </c>
      <c r="M26" s="20">
        <f t="shared" si="9"/>
        <v>0</v>
      </c>
    </row>
    <row r="27" spans="1:13" ht="12">
      <c r="A27" s="30" t="s">
        <v>73</v>
      </c>
      <c r="B27" s="18">
        <v>380000</v>
      </c>
      <c r="C27" s="18">
        <v>0</v>
      </c>
      <c r="D27" s="18">
        <v>0</v>
      </c>
      <c r="E27" s="20">
        <f t="shared" si="5"/>
        <v>0</v>
      </c>
      <c r="F27" s="18">
        <v>0</v>
      </c>
      <c r="G27" s="20">
        <f t="shared" si="6"/>
        <v>0</v>
      </c>
      <c r="H27" s="20">
        <v>0</v>
      </c>
      <c r="I27" s="20">
        <f t="shared" si="7"/>
        <v>0</v>
      </c>
      <c r="J27" s="20">
        <f>'[7]Sheet1'!$G$12</f>
        <v>0</v>
      </c>
      <c r="K27" s="20">
        <f t="shared" si="8"/>
        <v>0</v>
      </c>
      <c r="L27" s="20">
        <f>'[9]Sheet1'!$H$12</f>
        <v>0</v>
      </c>
      <c r="M27" s="20">
        <f t="shared" si="9"/>
        <v>0</v>
      </c>
    </row>
    <row r="28" spans="1:13" ht="12">
      <c r="A28" s="30" t="s">
        <v>72</v>
      </c>
      <c r="B28" s="18">
        <v>112500</v>
      </c>
      <c r="C28" s="18"/>
      <c r="D28" s="18">
        <v>0</v>
      </c>
      <c r="E28" s="20">
        <f t="shared" si="5"/>
        <v>0</v>
      </c>
      <c r="F28" s="18">
        <v>0</v>
      </c>
      <c r="G28" s="20">
        <f t="shared" si="6"/>
        <v>0</v>
      </c>
      <c r="H28" s="20">
        <v>0</v>
      </c>
      <c r="I28" s="20">
        <f t="shared" si="7"/>
        <v>0</v>
      </c>
      <c r="J28" s="20">
        <f>'[7]Sheet1'!$G$12</f>
        <v>0</v>
      </c>
      <c r="K28" s="20">
        <f t="shared" si="8"/>
        <v>0</v>
      </c>
      <c r="L28" s="20">
        <f>'[9]Sheet1'!$H$12</f>
        <v>0</v>
      </c>
      <c r="M28" s="20">
        <f t="shared" si="9"/>
        <v>0</v>
      </c>
    </row>
    <row r="29" spans="1:13" ht="12">
      <c r="A29" s="30" t="s">
        <v>53</v>
      </c>
      <c r="B29" s="18">
        <v>0</v>
      </c>
      <c r="C29" s="18">
        <v>0</v>
      </c>
      <c r="D29" s="18">
        <v>0</v>
      </c>
      <c r="E29" s="20">
        <f t="shared" si="5"/>
        <v>0</v>
      </c>
      <c r="F29" s="18">
        <v>0</v>
      </c>
      <c r="G29" s="20">
        <f t="shared" si="6"/>
        <v>0</v>
      </c>
      <c r="H29" s="20">
        <v>0</v>
      </c>
      <c r="I29" s="20">
        <f t="shared" si="7"/>
        <v>0</v>
      </c>
      <c r="J29" s="20">
        <f>'[7]Sheet1'!$G$12</f>
        <v>0</v>
      </c>
      <c r="K29" s="20">
        <f t="shared" si="8"/>
        <v>0</v>
      </c>
      <c r="L29" s="20">
        <f>'[9]Sheet1'!$H$12</f>
        <v>0</v>
      </c>
      <c r="M29" s="20">
        <f t="shared" si="9"/>
        <v>0</v>
      </c>
    </row>
    <row r="30" spans="1:13" ht="15.75" customHeight="1">
      <c r="A30" s="31" t="s">
        <v>63</v>
      </c>
      <c r="B30" s="23">
        <v>0</v>
      </c>
      <c r="C30" s="23">
        <v>0</v>
      </c>
      <c r="D30" s="18">
        <v>0</v>
      </c>
      <c r="E30" s="20">
        <f t="shared" si="5"/>
        <v>0</v>
      </c>
      <c r="F30" s="18">
        <v>0</v>
      </c>
      <c r="G30" s="20">
        <f t="shared" si="6"/>
        <v>0</v>
      </c>
      <c r="H30" s="20">
        <v>0</v>
      </c>
      <c r="I30" s="20">
        <f t="shared" si="7"/>
        <v>0</v>
      </c>
      <c r="J30" s="20">
        <f>'[7]Sheet1'!$G$12</f>
        <v>0</v>
      </c>
      <c r="K30" s="20">
        <f t="shared" si="8"/>
        <v>0</v>
      </c>
      <c r="L30" s="20">
        <f>'[9]Sheet1'!$H$12</f>
        <v>0</v>
      </c>
      <c r="M30" s="20">
        <f t="shared" si="9"/>
        <v>0</v>
      </c>
    </row>
    <row r="31" spans="1:13" ht="15.75" customHeight="1">
      <c r="A31" s="25" t="s">
        <v>11</v>
      </c>
      <c r="B31" s="26">
        <f>SUM(B24:B30)</f>
        <v>956900</v>
      </c>
      <c r="C31" s="26">
        <f>SUM(C24:C29)</f>
        <v>1339.7008799999999</v>
      </c>
      <c r="D31" s="26">
        <f>SUM(D24:D29)</f>
        <v>896.29499968</v>
      </c>
      <c r="E31" s="26">
        <f aca="true" t="shared" si="10" ref="E31:M31">SUM(E24:E30)</f>
        <v>2235.99587968</v>
      </c>
      <c r="F31" s="26">
        <f t="shared" si="10"/>
        <v>1227.53012815</v>
      </c>
      <c r="G31" s="26">
        <f t="shared" si="10"/>
        <v>3463.5260078300003</v>
      </c>
      <c r="H31" s="26">
        <f t="shared" si="10"/>
        <v>2117.6440284</v>
      </c>
      <c r="I31" s="26">
        <f t="shared" si="10"/>
        <v>5581.17003623</v>
      </c>
      <c r="J31" s="26">
        <f t="shared" si="10"/>
        <v>0</v>
      </c>
      <c r="K31" s="26">
        <f t="shared" si="10"/>
        <v>5581.17003623</v>
      </c>
      <c r="L31" s="26">
        <f t="shared" si="10"/>
        <v>0</v>
      </c>
      <c r="M31" s="26">
        <f t="shared" si="10"/>
        <v>5581.17003623</v>
      </c>
    </row>
    <row r="32" spans="1:13" ht="15.75" customHeight="1">
      <c r="A32" s="25"/>
      <c r="B32" s="32"/>
      <c r="C32" s="33"/>
      <c r="D32" s="6"/>
      <c r="E32" s="16"/>
      <c r="F32" s="45"/>
      <c r="G32" s="16"/>
      <c r="H32" s="43"/>
      <c r="I32" s="50"/>
      <c r="J32" s="45"/>
      <c r="K32" s="16"/>
      <c r="L32" s="7"/>
      <c r="M32" s="7"/>
    </row>
    <row r="33" spans="1:13" s="2" customFormat="1" ht="15.75" customHeight="1">
      <c r="A33" s="34" t="s">
        <v>59</v>
      </c>
      <c r="B33" s="26">
        <f aca="true" t="shared" si="11" ref="B33:M33">B21+B31</f>
        <v>4552998</v>
      </c>
      <c r="C33" s="26">
        <f t="shared" si="11"/>
        <v>227911.66955857</v>
      </c>
      <c r="D33" s="26">
        <f t="shared" si="11"/>
        <v>246956.00096103</v>
      </c>
      <c r="E33" s="26">
        <f t="shared" si="11"/>
        <v>474867.6705196</v>
      </c>
      <c r="F33" s="26">
        <f t="shared" si="11"/>
        <v>278192.49093829</v>
      </c>
      <c r="G33" s="26">
        <f t="shared" si="11"/>
        <v>753060.1614578902</v>
      </c>
      <c r="H33" s="26">
        <f t="shared" si="11"/>
        <v>222121.11492710002</v>
      </c>
      <c r="I33" s="26">
        <f t="shared" si="11"/>
        <v>975181.2763849901</v>
      </c>
      <c r="J33" s="26">
        <f t="shared" si="11"/>
        <v>260507.65045038002</v>
      </c>
      <c r="K33" s="26">
        <f t="shared" si="11"/>
        <v>1235688.92683537</v>
      </c>
      <c r="L33" s="26">
        <f t="shared" si="11"/>
        <v>282371.11140369007</v>
      </c>
      <c r="M33" s="26">
        <f t="shared" si="11"/>
        <v>1518060.03823906</v>
      </c>
    </row>
    <row r="34" spans="1:5" s="2" customFormat="1" ht="15.75" customHeight="1">
      <c r="A34" s="35"/>
      <c r="B34" s="36"/>
      <c r="C34" s="36"/>
      <c r="D34" s="35"/>
      <c r="E34" s="35"/>
    </row>
    <row r="35" spans="1:5" s="2" customFormat="1" ht="15.75" customHeight="1">
      <c r="A35" s="120" t="s">
        <v>51</v>
      </c>
      <c r="B35" s="120"/>
      <c r="C35" s="120"/>
      <c r="D35" s="35"/>
      <c r="E35" s="35"/>
    </row>
    <row r="36" spans="1:5" s="2" customFormat="1" ht="19.5" customHeight="1">
      <c r="A36" s="121" t="s">
        <v>110</v>
      </c>
      <c r="B36" s="121"/>
      <c r="C36" s="3"/>
      <c r="D36" s="35"/>
      <c r="E36" s="35"/>
    </row>
    <row r="37" spans="1:13" s="2" customFormat="1" ht="69" customHeight="1">
      <c r="A37" s="7"/>
      <c r="B37" s="8" t="s">
        <v>48</v>
      </c>
      <c r="C37" s="125" t="s">
        <v>74</v>
      </c>
      <c r="D37" s="126"/>
      <c r="E37" s="127"/>
      <c r="F37" s="117" t="s">
        <v>74</v>
      </c>
      <c r="G37" s="118"/>
      <c r="H37" s="117" t="s">
        <v>74</v>
      </c>
      <c r="I37" s="118"/>
      <c r="J37" s="117" t="s">
        <v>74</v>
      </c>
      <c r="K37" s="118"/>
      <c r="L37" s="117" t="s">
        <v>74</v>
      </c>
      <c r="M37" s="118"/>
    </row>
    <row r="38" spans="1:13" s="2" customFormat="1" ht="27.75" customHeight="1">
      <c r="A38" s="9"/>
      <c r="B38" s="10" t="s">
        <v>71</v>
      </c>
      <c r="C38" s="11">
        <v>42736</v>
      </c>
      <c r="D38" s="11">
        <v>42767</v>
      </c>
      <c r="E38" s="11" t="s">
        <v>75</v>
      </c>
      <c r="F38" s="11">
        <v>42795</v>
      </c>
      <c r="G38" s="11" t="s">
        <v>76</v>
      </c>
      <c r="H38" s="104">
        <v>42826</v>
      </c>
      <c r="I38" s="11" t="s">
        <v>98</v>
      </c>
      <c r="J38" s="104">
        <v>42856</v>
      </c>
      <c r="K38" s="11" t="s">
        <v>101</v>
      </c>
      <c r="L38" s="104">
        <v>42887</v>
      </c>
      <c r="M38" s="11" t="s">
        <v>104</v>
      </c>
    </row>
    <row r="39" spans="1:13" s="2" customFormat="1" ht="15.75" customHeight="1">
      <c r="A39" s="7"/>
      <c r="B39" s="13" t="s">
        <v>0</v>
      </c>
      <c r="C39" s="13" t="s">
        <v>0</v>
      </c>
      <c r="D39" s="37"/>
      <c r="E39" s="13" t="s">
        <v>0</v>
      </c>
      <c r="F39" s="13" t="s">
        <v>0</v>
      </c>
      <c r="G39" s="13" t="s">
        <v>0</v>
      </c>
      <c r="H39" s="13" t="s">
        <v>0</v>
      </c>
      <c r="I39" s="13" t="s">
        <v>0</v>
      </c>
      <c r="J39" s="13" t="s">
        <v>0</v>
      </c>
      <c r="K39" s="111" t="s">
        <v>0</v>
      </c>
      <c r="L39" s="13" t="s">
        <v>0</v>
      </c>
      <c r="M39" s="13" t="s">
        <v>0</v>
      </c>
    </row>
    <row r="40" spans="1:13" ht="15.75" customHeight="1">
      <c r="A40" s="14" t="s">
        <v>12</v>
      </c>
      <c r="B40" s="28"/>
      <c r="C40" s="28"/>
      <c r="D40" s="12"/>
      <c r="E40" s="16"/>
      <c r="F40" s="12"/>
      <c r="G40" s="16"/>
      <c r="H40" s="12"/>
      <c r="I40" s="16"/>
      <c r="J40" s="12"/>
      <c r="K40" s="16"/>
      <c r="L40" s="12"/>
      <c r="M40" s="12"/>
    </row>
    <row r="41" spans="1:13" ht="15.75" customHeight="1">
      <c r="A41" s="12"/>
      <c r="B41" s="28"/>
      <c r="C41" s="28"/>
      <c r="D41" s="12"/>
      <c r="E41" s="16"/>
      <c r="F41" s="12"/>
      <c r="G41" s="16"/>
      <c r="H41" s="12"/>
      <c r="I41" s="16"/>
      <c r="J41" s="12"/>
      <c r="K41" s="16"/>
      <c r="L41" s="12"/>
      <c r="M41" s="12"/>
    </row>
    <row r="42" spans="1:13" ht="15.75" customHeight="1">
      <c r="A42" s="17" t="s">
        <v>13</v>
      </c>
      <c r="B42" s="28">
        <v>1806035</v>
      </c>
      <c r="C42" s="28">
        <f>-'[5]Sheet1'!$B$14</f>
        <v>168774.03092142002</v>
      </c>
      <c r="D42" s="39">
        <f>-('[5]Sheet1'!$C$14)</f>
        <v>152130.10054739998</v>
      </c>
      <c r="E42" s="40">
        <f aca="true" t="shared" si="12" ref="E42:E48">C42+D42</f>
        <v>320904.13146882004</v>
      </c>
      <c r="F42" s="39">
        <f>-'[7]Sheet1'!$D$14</f>
        <v>158294.43820914996</v>
      </c>
      <c r="G42" s="39">
        <f aca="true" t="shared" si="13" ref="G42:G48">E42+F42</f>
        <v>479198.56967797</v>
      </c>
      <c r="H42" s="39">
        <f>-('[7]Sheet1'!$F$14)</f>
        <v>156221.21043706</v>
      </c>
      <c r="I42" s="39">
        <f aca="true" t="shared" si="14" ref="I42:I48">G42+H42</f>
        <v>635419.78011503</v>
      </c>
      <c r="J42" s="39">
        <f>-('[7]Sheet1'!$G$14)</f>
        <v>146797.72680302</v>
      </c>
      <c r="K42" s="39">
        <f aca="true" t="shared" si="15" ref="K42:K48">J42+I42</f>
        <v>782217.50691805</v>
      </c>
      <c r="L42" s="39">
        <f>-('[9]Sheet1'!$H$14)</f>
        <v>146977.98906782</v>
      </c>
      <c r="M42" s="39">
        <f aca="true" t="shared" si="16" ref="M42:M48">L42+K42</f>
        <v>929195.49598587</v>
      </c>
    </row>
    <row r="43" spans="1:15" ht="15.75" customHeight="1">
      <c r="A43" s="17" t="s">
        <v>14</v>
      </c>
      <c r="B43" s="28">
        <v>1616462</v>
      </c>
      <c r="C43" s="28">
        <f>-('[5]Sheet1'!$B$15+'[5]Sheet1'!$B$17)</f>
        <v>41857.11160184999</v>
      </c>
      <c r="D43" s="39">
        <f>-('[9]Sheet1'!$C$15+'[9]Sheet1'!$C$16+'[9]Sheet1'!$C$17)</f>
        <v>128941.35263301001</v>
      </c>
      <c r="E43" s="40">
        <f t="shared" si="12"/>
        <v>170798.46423486</v>
      </c>
      <c r="F43" s="39">
        <f>-('[6]Sheet1'!$D$15+'[6]Sheet1'!$D$16)</f>
        <v>160401.31266806</v>
      </c>
      <c r="G43" s="39">
        <f t="shared" si="13"/>
        <v>331199.77690292</v>
      </c>
      <c r="H43" s="39">
        <f>-('[7]Sheet1'!$F$15+'[7]Sheet1'!$F$16)</f>
        <v>232530.09703137</v>
      </c>
      <c r="I43" s="39">
        <f t="shared" si="14"/>
        <v>563729.87393429</v>
      </c>
      <c r="J43" s="39">
        <f>-('[7]Sheet1'!$G$15+'[7]Sheet1'!$G$16)</f>
        <v>152034.53590639003</v>
      </c>
      <c r="K43" s="39">
        <f t="shared" si="15"/>
        <v>715764.4098406801</v>
      </c>
      <c r="L43" s="39">
        <f>-('[9]Sheet1'!$H$15+'[9]Sheet1'!$H$16+'[9]Sheet1'!$H$17)</f>
        <v>34466.10867711999</v>
      </c>
      <c r="M43" s="39">
        <f t="shared" si="16"/>
        <v>750230.5185178</v>
      </c>
      <c r="O43" s="113"/>
    </row>
    <row r="44" spans="1:13" ht="15.75" customHeight="1">
      <c r="A44" s="17" t="s">
        <v>15</v>
      </c>
      <c r="B44" s="18">
        <v>76361</v>
      </c>
      <c r="C44" s="18">
        <f>'[8]Sheet1'!$B$2</f>
        <v>0</v>
      </c>
      <c r="D44" s="106">
        <f>'[8]Sheet1'!$C$3</f>
        <v>19090000000</v>
      </c>
      <c r="E44" s="106">
        <f t="shared" si="12"/>
        <v>19090000000</v>
      </c>
      <c r="F44" s="18">
        <f>'[8]Sheet1'!$D$3</f>
        <v>0</v>
      </c>
      <c r="G44" s="106">
        <f t="shared" si="13"/>
        <v>19090000000</v>
      </c>
      <c r="H44" s="106">
        <f>'[8]Sheet1'!$E$3</f>
        <v>19090000000</v>
      </c>
      <c r="I44" s="106">
        <f t="shared" si="14"/>
        <v>38180000000</v>
      </c>
      <c r="J44" s="106">
        <f>'[8]Sheet1'!$G$3</f>
        <v>469975000</v>
      </c>
      <c r="K44" s="106">
        <f t="shared" si="15"/>
        <v>38649975000</v>
      </c>
      <c r="L44" s="18">
        <f>'[10]Sheet1'!$H$3</f>
        <v>0</v>
      </c>
      <c r="M44" s="106">
        <f t="shared" si="16"/>
        <v>38649975000</v>
      </c>
    </row>
    <row r="45" spans="1:15" ht="15.75" customHeight="1">
      <c r="A45" s="41" t="s">
        <v>65</v>
      </c>
      <c r="B45" s="18">
        <v>129090</v>
      </c>
      <c r="C45" s="18">
        <f>'[3]Sheet1'!$B$16</f>
        <v>0</v>
      </c>
      <c r="D45" s="19">
        <f>-'[4]Sheet1'!$C$16</f>
        <v>19579.2249</v>
      </c>
      <c r="E45" s="20">
        <f t="shared" si="12"/>
        <v>19579.2249</v>
      </c>
      <c r="F45" s="19">
        <f>-('[6]Sheet1'!$D$16)</f>
        <v>45</v>
      </c>
      <c r="G45" s="19">
        <f t="shared" si="13"/>
        <v>19624.2249</v>
      </c>
      <c r="H45" s="19">
        <f>-('[7]Sheet1'!$F$16)</f>
        <v>80</v>
      </c>
      <c r="I45" s="19">
        <f t="shared" si="14"/>
        <v>19704.2249</v>
      </c>
      <c r="J45" s="19">
        <f>-('[7]Sheet1'!$G$16)</f>
        <v>20300.5719</v>
      </c>
      <c r="K45" s="20">
        <f t="shared" si="15"/>
        <v>40004.7968</v>
      </c>
      <c r="L45" s="19">
        <f>-('[9]Sheet1'!$H$16)</f>
        <v>323.6</v>
      </c>
      <c r="M45" s="20">
        <f t="shared" si="16"/>
        <v>40328.396799999995</v>
      </c>
      <c r="O45" s="112"/>
    </row>
    <row r="46" spans="1:13" ht="15.75" customHeight="1">
      <c r="A46" s="41" t="s">
        <v>17</v>
      </c>
      <c r="B46" s="18">
        <v>128101</v>
      </c>
      <c r="C46" s="18">
        <f>-'[3]Sheet1'!$B$17</f>
        <v>9310.36748976</v>
      </c>
      <c r="D46" s="19">
        <f>-'[4]Sheet1'!$C$17</f>
        <v>9994.26958765</v>
      </c>
      <c r="E46" s="20">
        <f t="shared" si="12"/>
        <v>19304.63707741</v>
      </c>
      <c r="F46" s="18">
        <f>'[6]Sheet1'!$D$17</f>
        <v>0</v>
      </c>
      <c r="G46" s="19">
        <f t="shared" si="13"/>
        <v>19304.63707741</v>
      </c>
      <c r="H46" s="18">
        <f>'[7]Sheet1'!$F$17</f>
        <v>0</v>
      </c>
      <c r="I46" s="19">
        <f t="shared" si="14"/>
        <v>19304.63707741</v>
      </c>
      <c r="J46" s="18">
        <f>'[7]Sheet1'!$G$17</f>
        <v>0</v>
      </c>
      <c r="K46" s="20">
        <f t="shared" si="15"/>
        <v>19304.63707741</v>
      </c>
      <c r="L46" s="18">
        <f>'[9]Sheet1'!$H$17</f>
        <v>0</v>
      </c>
      <c r="M46" s="20">
        <f t="shared" si="16"/>
        <v>19304.63707741</v>
      </c>
    </row>
    <row r="47" spans="1:13" ht="15.75" customHeight="1">
      <c r="A47" s="41" t="s">
        <v>54</v>
      </c>
      <c r="B47" s="18">
        <v>96236</v>
      </c>
      <c r="C47" s="18">
        <f>'[2]Sheet1'!$B$4</f>
        <v>0</v>
      </c>
      <c r="D47" s="106">
        <f>'[10]Sheet1'!$C$4</f>
        <v>1525937552.5</v>
      </c>
      <c r="E47" s="106">
        <f t="shared" si="12"/>
        <v>1525937552.5</v>
      </c>
      <c r="F47" s="106">
        <f>'[8]Sheet1'!$C$5</f>
        <v>5000000000</v>
      </c>
      <c r="G47" s="106">
        <f t="shared" si="13"/>
        <v>6525937552.5</v>
      </c>
      <c r="H47" s="106">
        <f>'[8]Sheet1'!$F$4</f>
        <v>9334476000.5</v>
      </c>
      <c r="I47" s="106">
        <f t="shared" si="14"/>
        <v>15860413553</v>
      </c>
      <c r="J47" s="106">
        <f>'[8]Sheet1'!$G$4</f>
        <v>22055936849</v>
      </c>
      <c r="K47" s="106">
        <f t="shared" si="15"/>
        <v>37916350402</v>
      </c>
      <c r="L47" s="106">
        <f>'[10]Sheet1'!$H$4</f>
        <v>2680091826</v>
      </c>
      <c r="M47" s="106">
        <f t="shared" si="16"/>
        <v>40596442228</v>
      </c>
    </row>
    <row r="48" spans="1:13" ht="15.75" customHeight="1">
      <c r="A48" s="22" t="s">
        <v>19</v>
      </c>
      <c r="B48" s="42">
        <v>569066</v>
      </c>
      <c r="C48" s="42">
        <f>-'[3]Sheet1'!$B$18</f>
        <v>16795.44307611</v>
      </c>
      <c r="D48" s="39">
        <f>-'[4]Sheet1'!$C$18</f>
        <v>108045.89782950001</v>
      </c>
      <c r="E48" s="40">
        <f t="shared" si="12"/>
        <v>124841.34090561</v>
      </c>
      <c r="F48" s="61">
        <f>-('[6]Sheet1'!$D$18)</f>
        <v>85120.66539899999</v>
      </c>
      <c r="G48" s="61">
        <f t="shared" si="13"/>
        <v>209962.00630461</v>
      </c>
      <c r="H48" s="61">
        <f>-('[7]Sheet1'!$F$18)</f>
        <v>54305.5892805</v>
      </c>
      <c r="I48" s="61">
        <f t="shared" si="14"/>
        <v>264267.59558511</v>
      </c>
      <c r="J48" s="61">
        <f>-('[7]Sheet1'!$G$18)</f>
        <v>3681.538472</v>
      </c>
      <c r="K48" s="39">
        <f t="shared" si="15"/>
        <v>267949.13405711</v>
      </c>
      <c r="L48" s="39">
        <f>-('[9]Sheet1'!$H$18)</f>
        <v>106923.36972143</v>
      </c>
      <c r="M48" s="39">
        <f t="shared" si="16"/>
        <v>374872.50377854</v>
      </c>
    </row>
    <row r="49" spans="1:13" ht="15.75" customHeight="1">
      <c r="A49" s="34" t="s">
        <v>20</v>
      </c>
      <c r="B49" s="32">
        <f aca="true" t="shared" si="17" ref="B49:M49">B42+B43+B48</f>
        <v>3991563</v>
      </c>
      <c r="C49" s="33">
        <f t="shared" si="17"/>
        <v>227426.58559938002</v>
      </c>
      <c r="D49" s="33">
        <f t="shared" si="17"/>
        <v>389117.35100991</v>
      </c>
      <c r="E49" s="33">
        <f t="shared" si="17"/>
        <v>616543.9366092901</v>
      </c>
      <c r="F49" s="33">
        <f t="shared" si="17"/>
        <v>403816.41627620993</v>
      </c>
      <c r="G49" s="33">
        <f t="shared" si="17"/>
        <v>1020360.3528855001</v>
      </c>
      <c r="H49" s="33">
        <f t="shared" si="17"/>
        <v>443056.89674893004</v>
      </c>
      <c r="I49" s="33">
        <f t="shared" si="17"/>
        <v>1463417.2496344303</v>
      </c>
      <c r="J49" s="33">
        <f t="shared" si="17"/>
        <v>302513.80118141003</v>
      </c>
      <c r="K49" s="33">
        <f t="shared" si="17"/>
        <v>1765931.05081584</v>
      </c>
      <c r="L49" s="33">
        <f t="shared" si="17"/>
        <v>288367.46746636997</v>
      </c>
      <c r="M49" s="33">
        <f t="shared" si="17"/>
        <v>2054298.51828221</v>
      </c>
    </row>
    <row r="50" spans="1:13" ht="15.75" customHeight="1">
      <c r="A50" s="25"/>
      <c r="B50" s="43"/>
      <c r="C50" s="44"/>
      <c r="D50" s="45"/>
      <c r="E50" s="16"/>
      <c r="F50" s="45"/>
      <c r="G50" s="16"/>
      <c r="H50" s="43"/>
      <c r="I50" s="44"/>
      <c r="J50" s="43"/>
      <c r="K50" s="44"/>
      <c r="L50" s="7"/>
      <c r="M50" s="7"/>
    </row>
    <row r="51" spans="1:13" ht="15.75" customHeight="1">
      <c r="A51" s="34" t="s">
        <v>56</v>
      </c>
      <c r="B51" s="26">
        <f aca="true" t="shared" si="18" ref="B51:M51">B33-B49</f>
        <v>561435</v>
      </c>
      <c r="C51" s="33">
        <f t="shared" si="18"/>
        <v>485.0839591899712</v>
      </c>
      <c r="D51" s="33">
        <f t="shared" si="18"/>
        <v>-142161.35004888</v>
      </c>
      <c r="E51" s="33">
        <f t="shared" si="18"/>
        <v>-141676.2660896901</v>
      </c>
      <c r="F51" s="26">
        <f t="shared" si="18"/>
        <v>-125623.9253379199</v>
      </c>
      <c r="G51" s="33">
        <f t="shared" si="18"/>
        <v>-267300.1914276099</v>
      </c>
      <c r="H51" s="33">
        <f t="shared" si="18"/>
        <v>-220935.78182183002</v>
      </c>
      <c r="I51" s="33">
        <f t="shared" si="18"/>
        <v>-488235.9732494402</v>
      </c>
      <c r="J51" s="33">
        <f t="shared" si="18"/>
        <v>-42006.15073103001</v>
      </c>
      <c r="K51" s="33">
        <f t="shared" si="18"/>
        <v>-530242.12398047</v>
      </c>
      <c r="L51" s="33">
        <f t="shared" si="18"/>
        <v>-5996.356062679901</v>
      </c>
      <c r="M51" s="33">
        <f t="shared" si="18"/>
        <v>-536238.48004315</v>
      </c>
    </row>
    <row r="52" spans="1:13" ht="15.75" customHeight="1">
      <c r="A52" s="37"/>
      <c r="B52" s="27"/>
      <c r="C52" s="46"/>
      <c r="D52" s="12"/>
      <c r="E52" s="16"/>
      <c r="F52" s="7"/>
      <c r="G52" s="51"/>
      <c r="H52" s="7"/>
      <c r="I52" s="51"/>
      <c r="J52" s="7"/>
      <c r="K52" s="51"/>
      <c r="L52" s="7"/>
      <c r="M52" s="7"/>
    </row>
    <row r="53" spans="1:13" ht="15.75" customHeight="1">
      <c r="A53" s="17" t="s">
        <v>21</v>
      </c>
      <c r="B53" s="28">
        <f>B54+B55</f>
        <v>-548178</v>
      </c>
      <c r="C53" s="46">
        <f>C54+C55</f>
        <v>-31217.820088810004</v>
      </c>
      <c r="D53" s="46">
        <f>D54+D55</f>
        <v>-51503.144302600005</v>
      </c>
      <c r="E53" s="40">
        <f aca="true" t="shared" si="19" ref="E53:E67">C53+D53</f>
        <v>-82720.96439141</v>
      </c>
      <c r="F53" s="40">
        <f>F54+F55</f>
        <v>-43123.60316140999</v>
      </c>
      <c r="G53" s="40">
        <f aca="true" t="shared" si="20" ref="G53:G67">F53+E53</f>
        <v>-125844.56755282</v>
      </c>
      <c r="H53" s="40">
        <f>H54+H55</f>
        <v>-64159.414975839994</v>
      </c>
      <c r="I53" s="40">
        <f aca="true" t="shared" si="21" ref="I53:I67">G53+H53</f>
        <v>-190003.98252865998</v>
      </c>
      <c r="J53" s="40">
        <f>J54+J55</f>
        <v>-40117.26718853</v>
      </c>
      <c r="K53" s="40">
        <f aca="true" t="shared" si="22" ref="K53:K67">I53+J53</f>
        <v>-230121.24971719</v>
      </c>
      <c r="L53" s="40">
        <f>L54+L55</f>
        <v>-57499.03783031</v>
      </c>
      <c r="M53" s="40">
        <f aca="true" t="shared" si="23" ref="M53:M63">K53+L53</f>
        <v>-287620.2875475</v>
      </c>
    </row>
    <row r="54" spans="1:13" ht="15.75" customHeight="1">
      <c r="A54" s="47" t="s">
        <v>22</v>
      </c>
      <c r="B54" s="18">
        <v>-468421</v>
      </c>
      <c r="C54" s="21">
        <f>'[7]Sheet1'!$B$23</f>
        <v>-28202.254786160003</v>
      </c>
      <c r="D54" s="21">
        <f>'[7]Sheet1'!$C$23</f>
        <v>-46679.24746769001</v>
      </c>
      <c r="E54" s="20">
        <f t="shared" si="19"/>
        <v>-74881.50225385002</v>
      </c>
      <c r="F54" s="20">
        <f>'[6]Sheet1'!$D$23</f>
        <v>-39243.636037059994</v>
      </c>
      <c r="G54" s="20">
        <f t="shared" si="20"/>
        <v>-114125.13829091002</v>
      </c>
      <c r="H54" s="20">
        <f>'[7]Sheet1'!$F$23</f>
        <v>-57241.496244589995</v>
      </c>
      <c r="I54" s="20">
        <f t="shared" si="21"/>
        <v>-171366.63453550002</v>
      </c>
      <c r="J54" s="19">
        <f>'[7]Sheet1'!$G$23</f>
        <v>-36692.99949185</v>
      </c>
      <c r="K54" s="20">
        <f t="shared" si="22"/>
        <v>-208059.63402735002</v>
      </c>
      <c r="L54" s="19">
        <f>'[9]Sheet1'!$H$23</f>
        <v>-57499.03783031</v>
      </c>
      <c r="M54" s="20">
        <f t="shared" si="23"/>
        <v>-265558.67185766005</v>
      </c>
    </row>
    <row r="55" spans="1:13" ht="15.75" customHeight="1">
      <c r="A55" s="47" t="s">
        <v>23</v>
      </c>
      <c r="B55" s="18">
        <v>-79757</v>
      </c>
      <c r="C55" s="21">
        <f>'[3]Sheet1'!$B$24</f>
        <v>-3015.56530265</v>
      </c>
      <c r="D55" s="21">
        <f>'[4]Sheet1'!$C$24</f>
        <v>-4823.89683491</v>
      </c>
      <c r="E55" s="20">
        <f t="shared" si="19"/>
        <v>-7839.46213756</v>
      </c>
      <c r="F55" s="20">
        <f>'[6]Sheet1'!$D$24</f>
        <v>-3879.96712435</v>
      </c>
      <c r="G55" s="20">
        <f t="shared" si="20"/>
        <v>-11719.42926191</v>
      </c>
      <c r="H55" s="20">
        <f>'[7]Sheet1'!$F$24</f>
        <v>-6917.918731249998</v>
      </c>
      <c r="I55" s="20">
        <f t="shared" si="21"/>
        <v>-18637.347993159998</v>
      </c>
      <c r="J55" s="19">
        <f>'[9]Sheet1'!$G$24</f>
        <v>-3424.26769668</v>
      </c>
      <c r="K55" s="20">
        <f t="shared" si="22"/>
        <v>-22061.615689839997</v>
      </c>
      <c r="L55" s="40">
        <f>'[9]Sheet1'!$H$24</f>
        <v>0</v>
      </c>
      <c r="M55" s="20">
        <f t="shared" si="23"/>
        <v>-22061.615689839997</v>
      </c>
    </row>
    <row r="56" spans="1:13" ht="15.75" customHeight="1">
      <c r="A56" s="17" t="s">
        <v>24</v>
      </c>
      <c r="B56" s="28">
        <f>B58+B59+B60+B57</f>
        <v>-21529</v>
      </c>
      <c r="C56" s="46">
        <f>SUM(C57:C60)</f>
        <v>-2886.135985</v>
      </c>
      <c r="D56" s="46">
        <f>SUM(D57:D60)</f>
        <v>-63869.021881</v>
      </c>
      <c r="E56" s="40">
        <f t="shared" si="19"/>
        <v>-66755.157866</v>
      </c>
      <c r="F56" s="40">
        <f>F57+F58+F59+F60</f>
        <v>-45033.046698</v>
      </c>
      <c r="G56" s="40">
        <f t="shared" si="20"/>
        <v>-111788.20456399999</v>
      </c>
      <c r="H56" s="40">
        <f>H57+H58+H59+H60</f>
        <v>-980</v>
      </c>
      <c r="I56" s="40">
        <f t="shared" si="21"/>
        <v>-112768.20456399999</v>
      </c>
      <c r="J56" s="40">
        <f>J57+J58+J59+J60</f>
        <v>-321.39</v>
      </c>
      <c r="K56" s="40">
        <f t="shared" si="22"/>
        <v>-113089.59456399998</v>
      </c>
      <c r="L56" s="40">
        <f>L57+L58+L59+L60</f>
        <v>-306.2400529999998</v>
      </c>
      <c r="M56" s="40">
        <f t="shared" si="23"/>
        <v>-113395.83461699999</v>
      </c>
    </row>
    <row r="57" spans="1:13" ht="15.75" customHeight="1">
      <c r="A57" s="47" t="s">
        <v>25</v>
      </c>
      <c r="B57" s="18">
        <v>-19007</v>
      </c>
      <c r="C57" s="21">
        <v>0</v>
      </c>
      <c r="D57" s="21">
        <v>0</v>
      </c>
      <c r="E57" s="20">
        <f t="shared" si="19"/>
        <v>0</v>
      </c>
      <c r="F57" s="21">
        <v>0</v>
      </c>
      <c r="G57" s="20">
        <f t="shared" si="20"/>
        <v>0</v>
      </c>
      <c r="H57" s="21">
        <v>0</v>
      </c>
      <c r="I57" s="20">
        <f t="shared" si="21"/>
        <v>0</v>
      </c>
      <c r="J57" s="40">
        <v>0</v>
      </c>
      <c r="K57" s="20">
        <f t="shared" si="22"/>
        <v>0</v>
      </c>
      <c r="L57" s="40">
        <f>0</f>
        <v>0</v>
      </c>
      <c r="M57" s="20">
        <f t="shared" si="23"/>
        <v>0</v>
      </c>
    </row>
    <row r="58" spans="1:13" ht="15.75" customHeight="1">
      <c r="A58" s="47" t="s">
        <v>26</v>
      </c>
      <c r="B58" s="18">
        <v>0</v>
      </c>
      <c r="C58" s="21">
        <f>'[3]Sheet1'!$B$25</f>
        <v>-253.237311</v>
      </c>
      <c r="D58" s="21">
        <f>'[4]Sheet1'!$C$25</f>
        <v>0</v>
      </c>
      <c r="E58" s="20">
        <f t="shared" si="19"/>
        <v>-253.237311</v>
      </c>
      <c r="F58" s="20">
        <f>'[6]Sheet1'!$D$25</f>
        <v>-127.65315000000001</v>
      </c>
      <c r="G58" s="20">
        <f t="shared" si="20"/>
        <v>-380.890461</v>
      </c>
      <c r="H58" s="21">
        <f>'[7]Sheet1'!$F$25</f>
        <v>0</v>
      </c>
      <c r="I58" s="20">
        <f t="shared" si="21"/>
        <v>-380.890461</v>
      </c>
      <c r="J58" s="40">
        <f>'[7]Sheet1'!$G$25</f>
        <v>0</v>
      </c>
      <c r="K58" s="20">
        <f t="shared" si="22"/>
        <v>-380.890461</v>
      </c>
      <c r="L58" s="19">
        <f>'[9]Sheet1'!$H$25</f>
        <v>-130.21905299999983</v>
      </c>
      <c r="M58" s="20">
        <f t="shared" si="23"/>
        <v>-511.1095139999999</v>
      </c>
    </row>
    <row r="59" spans="1:13" ht="12">
      <c r="A59" s="47" t="s">
        <v>27</v>
      </c>
      <c r="B59" s="18">
        <v>-2522</v>
      </c>
      <c r="C59" s="21">
        <v>0</v>
      </c>
      <c r="D59" s="12"/>
      <c r="E59" s="20">
        <f t="shared" si="19"/>
        <v>0</v>
      </c>
      <c r="F59" s="12"/>
      <c r="G59" s="20">
        <f t="shared" si="20"/>
        <v>0</v>
      </c>
      <c r="H59" s="21">
        <v>0</v>
      </c>
      <c r="I59" s="20">
        <f t="shared" si="21"/>
        <v>0</v>
      </c>
      <c r="J59" s="40">
        <v>0</v>
      </c>
      <c r="K59" s="20">
        <f t="shared" si="22"/>
        <v>0</v>
      </c>
      <c r="L59" s="40">
        <f>0</f>
        <v>0</v>
      </c>
      <c r="M59" s="20">
        <f t="shared" si="23"/>
        <v>0</v>
      </c>
    </row>
    <row r="60" spans="1:13" ht="12">
      <c r="A60" s="47" t="s">
        <v>28</v>
      </c>
      <c r="B60" s="18">
        <v>0</v>
      </c>
      <c r="C60" s="21">
        <f>'[3]Sheet1'!$B$26</f>
        <v>-2632.898674</v>
      </c>
      <c r="D60" s="21">
        <f>'[4]Sheet1'!$C$26</f>
        <v>-63869.021881</v>
      </c>
      <c r="E60" s="20">
        <f t="shared" si="19"/>
        <v>-66501.920555</v>
      </c>
      <c r="F60" s="20">
        <f>'[6]Sheet1'!$D$26</f>
        <v>-44905.393548</v>
      </c>
      <c r="G60" s="20">
        <f t="shared" si="20"/>
        <v>-111407.31410300001</v>
      </c>
      <c r="H60" s="20">
        <f>'[7]Sheet1'!$F$26</f>
        <v>-980</v>
      </c>
      <c r="I60" s="20">
        <f t="shared" si="21"/>
        <v>-112387.31410300001</v>
      </c>
      <c r="J60" s="19">
        <f>'[9]Sheet1'!$G$26</f>
        <v>-321.39</v>
      </c>
      <c r="K60" s="20">
        <f t="shared" si="22"/>
        <v>-112708.70410300001</v>
      </c>
      <c r="L60" s="19">
        <f>'[9]Sheet1'!$H$26</f>
        <v>-176.021</v>
      </c>
      <c r="M60" s="20">
        <f t="shared" si="23"/>
        <v>-112884.725103</v>
      </c>
    </row>
    <row r="61" spans="1:13" ht="12">
      <c r="A61" s="47" t="s">
        <v>70</v>
      </c>
      <c r="B61" s="28">
        <v>-50030</v>
      </c>
      <c r="C61" s="21">
        <v>0</v>
      </c>
      <c r="D61" s="21">
        <v>0</v>
      </c>
      <c r="E61" s="20">
        <f t="shared" si="19"/>
        <v>0</v>
      </c>
      <c r="F61" s="21">
        <v>0</v>
      </c>
      <c r="G61" s="20">
        <f t="shared" si="20"/>
        <v>0</v>
      </c>
      <c r="H61" s="21">
        <v>0</v>
      </c>
      <c r="I61" s="20">
        <f t="shared" si="21"/>
        <v>0</v>
      </c>
      <c r="J61" s="40">
        <v>0</v>
      </c>
      <c r="K61" s="20">
        <f t="shared" si="22"/>
        <v>0</v>
      </c>
      <c r="L61" s="40">
        <f>0</f>
        <v>0</v>
      </c>
      <c r="M61" s="20">
        <f t="shared" si="23"/>
        <v>0</v>
      </c>
    </row>
    <row r="62" spans="1:13" ht="12">
      <c r="A62" s="48" t="s">
        <v>29</v>
      </c>
      <c r="B62" s="18">
        <v>0</v>
      </c>
      <c r="C62" s="21">
        <f>'[3]Sheet1'!$B$21</f>
        <v>41062.360691499984</v>
      </c>
      <c r="D62" s="19">
        <f>'[4]Sheet1'!$C$21</f>
        <v>112776.86560540002</v>
      </c>
      <c r="E62" s="20">
        <f t="shared" si="19"/>
        <v>153839.22629690001</v>
      </c>
      <c r="F62" s="20">
        <f>'[6]Sheet1'!$D$21</f>
        <v>-42177.59871389999</v>
      </c>
      <c r="G62" s="20">
        <f t="shared" si="20"/>
        <v>111661.62758300002</v>
      </c>
      <c r="H62" s="19">
        <f>'[7]Sheet1'!$F$21</f>
        <v>155363.94679600006</v>
      </c>
      <c r="I62" s="20">
        <f t="shared" si="21"/>
        <v>267025.5743790001</v>
      </c>
      <c r="J62" s="19">
        <f>'[9]Sheet1'!$G$21</f>
        <v>-25551.450063799974</v>
      </c>
      <c r="K62" s="20">
        <f t="shared" si="22"/>
        <v>241474.12431520014</v>
      </c>
      <c r="L62" s="19">
        <f>'[9]Sheet1'!$H$21</f>
        <v>-33293.000019600004</v>
      </c>
      <c r="M62" s="20">
        <f t="shared" si="23"/>
        <v>208181.12429560014</v>
      </c>
    </row>
    <row r="63" spans="1:13" ht="12">
      <c r="A63" s="49" t="s">
        <v>42</v>
      </c>
      <c r="B63" s="21">
        <v>0</v>
      </c>
      <c r="C63" s="21">
        <f>'[9]Sheet1'!$B$20+65313</f>
        <v>14324.105207899986</v>
      </c>
      <c r="D63" s="21">
        <f>'[9]Sheet1'!$C$20+28447</f>
        <v>-11280.718095079996</v>
      </c>
      <c r="E63" s="20">
        <f t="shared" si="19"/>
        <v>3043.38711281999</v>
      </c>
      <c r="F63" s="19">
        <f>'[7]Sheet1'!$D$20</f>
        <v>2428.0971992200007</v>
      </c>
      <c r="G63" s="20">
        <f t="shared" si="20"/>
        <v>5471.484312039991</v>
      </c>
      <c r="H63" s="20">
        <f>'[7]Sheet1'!$F$20</f>
        <v>-1425.6771904499992</v>
      </c>
      <c r="I63" s="20">
        <f t="shared" si="21"/>
        <v>4045.8071215899918</v>
      </c>
      <c r="J63" s="19">
        <f>'[9]Sheet1'!$G$20</f>
        <v>733.9176891800015</v>
      </c>
      <c r="K63" s="20">
        <f t="shared" si="22"/>
        <v>4779.724810769993</v>
      </c>
      <c r="L63" s="19">
        <f>'[9]Sheet1'!$H$20+32524</f>
        <v>14751.97775056</v>
      </c>
      <c r="M63" s="20">
        <f t="shared" si="23"/>
        <v>19531.702561329992</v>
      </c>
    </row>
    <row r="64" spans="1:13" ht="12">
      <c r="A64" s="48" t="s">
        <v>30</v>
      </c>
      <c r="B64" s="28">
        <v>0</v>
      </c>
      <c r="C64" s="46"/>
      <c r="D64" s="12"/>
      <c r="E64" s="20">
        <f t="shared" si="19"/>
        <v>0</v>
      </c>
      <c r="F64" s="12"/>
      <c r="G64" s="20">
        <f t="shared" si="20"/>
        <v>0</v>
      </c>
      <c r="H64" s="12"/>
      <c r="I64" s="20">
        <f t="shared" si="21"/>
        <v>0</v>
      </c>
      <c r="J64" s="12"/>
      <c r="K64" s="20">
        <f t="shared" si="22"/>
        <v>0</v>
      </c>
      <c r="L64" s="12"/>
      <c r="M64" s="12"/>
    </row>
    <row r="65" spans="1:13" ht="12">
      <c r="A65" s="48" t="s">
        <v>31</v>
      </c>
      <c r="B65" s="28">
        <v>0</v>
      </c>
      <c r="C65" s="46"/>
      <c r="D65" s="12"/>
      <c r="E65" s="20">
        <f t="shared" si="19"/>
        <v>0</v>
      </c>
      <c r="F65" s="12"/>
      <c r="G65" s="20">
        <f t="shared" si="20"/>
        <v>0</v>
      </c>
      <c r="H65" s="12"/>
      <c r="I65" s="20">
        <f t="shared" si="21"/>
        <v>0</v>
      </c>
      <c r="J65" s="12"/>
      <c r="K65" s="20">
        <f t="shared" si="22"/>
        <v>0</v>
      </c>
      <c r="L65" s="12"/>
      <c r="M65" s="12"/>
    </row>
    <row r="66" spans="1:13" ht="12">
      <c r="A66" s="48" t="s">
        <v>32</v>
      </c>
      <c r="B66" s="28">
        <v>0</v>
      </c>
      <c r="C66" s="21">
        <v>0</v>
      </c>
      <c r="D66" s="12"/>
      <c r="E66" s="20">
        <f t="shared" si="19"/>
        <v>0</v>
      </c>
      <c r="F66" s="12"/>
      <c r="G66" s="20">
        <f t="shared" si="20"/>
        <v>0</v>
      </c>
      <c r="H66" s="12"/>
      <c r="I66" s="20">
        <f t="shared" si="21"/>
        <v>0</v>
      </c>
      <c r="J66" s="12"/>
      <c r="K66" s="20">
        <f t="shared" si="22"/>
        <v>0</v>
      </c>
      <c r="L66" s="12"/>
      <c r="M66" s="12"/>
    </row>
    <row r="67" spans="1:13" ht="12">
      <c r="A67" s="48" t="s">
        <v>33</v>
      </c>
      <c r="B67" s="28">
        <v>0</v>
      </c>
      <c r="C67" s="21">
        <v>0</v>
      </c>
      <c r="D67" s="21">
        <v>0</v>
      </c>
      <c r="E67" s="20">
        <f t="shared" si="19"/>
        <v>0</v>
      </c>
      <c r="F67" s="21">
        <v>0</v>
      </c>
      <c r="G67" s="20">
        <f t="shared" si="20"/>
        <v>0</v>
      </c>
      <c r="H67" s="20">
        <v>0</v>
      </c>
      <c r="I67" s="20">
        <f t="shared" si="21"/>
        <v>0</v>
      </c>
      <c r="J67" s="40">
        <v>0</v>
      </c>
      <c r="K67" s="20">
        <f t="shared" si="22"/>
        <v>0</v>
      </c>
      <c r="L67" s="20">
        <f>0</f>
        <v>0</v>
      </c>
      <c r="M67" s="20">
        <f>K67+L67</f>
        <v>0</v>
      </c>
    </row>
    <row r="68" spans="1:13" ht="12">
      <c r="A68" s="34" t="s">
        <v>55</v>
      </c>
      <c r="B68" s="26">
        <f>B53+B56+B63+B61+B67</f>
        <v>-619737</v>
      </c>
      <c r="C68" s="26">
        <f>C53+C56+C62+C64+C65+C66+C67+C63</f>
        <v>21282.509825589965</v>
      </c>
      <c r="D68" s="26">
        <f>D53+D56+D62+D64+D65+D66+D67+D63</f>
        <v>-13876.018673279978</v>
      </c>
      <c r="E68" s="26">
        <f>E53+E56+E62+E64+E65+E66+E67+E63</f>
        <v>7406.491152310009</v>
      </c>
      <c r="F68" s="26">
        <f>F53+F56+F62+F64+F65+F66+F67+F63</f>
        <v>-127906.15137408997</v>
      </c>
      <c r="G68" s="26">
        <f>G53+G56+G62+G64+G65+G66+G67+G63</f>
        <v>-120499.66022177997</v>
      </c>
      <c r="H68" s="26">
        <f aca="true" t="shared" si="24" ref="H68:M68">H53+H56+H61+H62+H64+H65+H66+H67+H63</f>
        <v>88798.85462971007</v>
      </c>
      <c r="I68" s="26">
        <f t="shared" si="24"/>
        <v>-31700.80559206989</v>
      </c>
      <c r="J68" s="26">
        <f t="shared" si="24"/>
        <v>-65256.189563149965</v>
      </c>
      <c r="K68" s="26">
        <f t="shared" si="24"/>
        <v>-96956.99515521982</v>
      </c>
      <c r="L68" s="26">
        <f t="shared" si="24"/>
        <v>-76346.30015235001</v>
      </c>
      <c r="M68" s="26">
        <f t="shared" si="24"/>
        <v>-173303.29530756982</v>
      </c>
    </row>
    <row r="69" spans="1:13" ht="15.75" customHeight="1">
      <c r="A69" s="43"/>
      <c r="B69" s="50"/>
      <c r="C69" s="44"/>
      <c r="D69" s="45"/>
      <c r="E69" s="16"/>
      <c r="F69" s="12"/>
      <c r="G69" s="16"/>
      <c r="H69" s="25"/>
      <c r="I69" s="25"/>
      <c r="J69" s="43"/>
      <c r="K69" s="44"/>
      <c r="L69" s="7"/>
      <c r="M69" s="7"/>
    </row>
    <row r="70" spans="1:13" ht="15.75" customHeight="1">
      <c r="A70" s="34" t="s">
        <v>57</v>
      </c>
      <c r="B70" s="26">
        <f aca="true" t="shared" si="25" ref="B70:M70">B51+B68</f>
        <v>-58302</v>
      </c>
      <c r="C70" s="26">
        <f t="shared" si="25"/>
        <v>21767.593784779936</v>
      </c>
      <c r="D70" s="26">
        <f t="shared" si="25"/>
        <v>-156037.36872216</v>
      </c>
      <c r="E70" s="26">
        <f t="shared" si="25"/>
        <v>-134269.77493738008</v>
      </c>
      <c r="F70" s="26">
        <f t="shared" si="25"/>
        <v>-253530.07671200988</v>
      </c>
      <c r="G70" s="26">
        <f t="shared" si="25"/>
        <v>-387799.85164938984</v>
      </c>
      <c r="H70" s="26">
        <f t="shared" si="25"/>
        <v>-132136.92719211994</v>
      </c>
      <c r="I70" s="26">
        <f t="shared" si="25"/>
        <v>-519936.77884151007</v>
      </c>
      <c r="J70" s="26">
        <f t="shared" si="25"/>
        <v>-107262.34029417997</v>
      </c>
      <c r="K70" s="26">
        <f t="shared" si="25"/>
        <v>-627199.1191356898</v>
      </c>
      <c r="L70" s="26">
        <f t="shared" si="25"/>
        <v>-82342.65621502991</v>
      </c>
      <c r="M70" s="26">
        <f t="shared" si="25"/>
        <v>-709541.7753507198</v>
      </c>
    </row>
    <row r="71" spans="1:3" ht="15.75" customHeight="1">
      <c r="A71" s="6"/>
      <c r="B71" s="6"/>
      <c r="C71" s="6"/>
    </row>
    <row r="72" spans="1:3" ht="15.75" customHeight="1">
      <c r="A72" s="120" t="s">
        <v>51</v>
      </c>
      <c r="B72" s="120"/>
      <c r="C72" s="120"/>
    </row>
    <row r="73" spans="1:2" ht="15.75" customHeight="1">
      <c r="A73" s="121" t="s">
        <v>110</v>
      </c>
      <c r="B73" s="121"/>
    </row>
    <row r="74" spans="1:13" ht="64.5" customHeight="1">
      <c r="A74" s="25"/>
      <c r="B74" s="8" t="s">
        <v>48</v>
      </c>
      <c r="C74" s="125" t="s">
        <v>74</v>
      </c>
      <c r="D74" s="126"/>
      <c r="E74" s="127"/>
      <c r="F74" s="117" t="s">
        <v>74</v>
      </c>
      <c r="G74" s="118"/>
      <c r="H74" s="117" t="s">
        <v>74</v>
      </c>
      <c r="I74" s="118"/>
      <c r="J74" s="117" t="s">
        <v>74</v>
      </c>
      <c r="K74" s="118"/>
      <c r="L74" s="117" t="s">
        <v>74</v>
      </c>
      <c r="M74" s="118"/>
    </row>
    <row r="75" spans="1:13" ht="29.25" customHeight="1">
      <c r="A75" s="9"/>
      <c r="B75" s="10" t="s">
        <v>71</v>
      </c>
      <c r="C75" s="11">
        <v>42736</v>
      </c>
      <c r="D75" s="11">
        <v>42767</v>
      </c>
      <c r="E75" s="11" t="s">
        <v>75</v>
      </c>
      <c r="F75" s="11">
        <v>42795</v>
      </c>
      <c r="G75" s="11" t="s">
        <v>76</v>
      </c>
      <c r="H75" s="104">
        <v>42826</v>
      </c>
      <c r="I75" s="11" t="s">
        <v>98</v>
      </c>
      <c r="J75" s="109">
        <v>42856</v>
      </c>
      <c r="K75" s="110" t="s">
        <v>101</v>
      </c>
      <c r="L75" s="109">
        <v>42887</v>
      </c>
      <c r="M75" s="110" t="s">
        <v>104</v>
      </c>
    </row>
    <row r="76" spans="1:13" ht="15.75" customHeight="1">
      <c r="A76" s="7"/>
      <c r="B76" s="13" t="s">
        <v>0</v>
      </c>
      <c r="C76" s="13" t="s">
        <v>0</v>
      </c>
      <c r="D76" s="7"/>
      <c r="E76" s="13" t="s">
        <v>0</v>
      </c>
      <c r="F76" s="13" t="s">
        <v>0</v>
      </c>
      <c r="G76" s="13" t="s">
        <v>0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13" t="s">
        <v>0</v>
      </c>
    </row>
    <row r="77" spans="1:13" ht="15.75" customHeight="1">
      <c r="A77" s="12" t="s">
        <v>34</v>
      </c>
      <c r="B77" s="12"/>
      <c r="C77" s="12"/>
      <c r="D77" s="12"/>
      <c r="E77" s="16"/>
      <c r="F77" s="12"/>
      <c r="G77" s="16"/>
      <c r="H77" s="12"/>
      <c r="I77" s="16"/>
      <c r="J77" s="12"/>
      <c r="K77" s="16"/>
      <c r="L77" s="12"/>
      <c r="M77" s="12"/>
    </row>
    <row r="78" spans="1:13" ht="12">
      <c r="A78" s="12" t="s">
        <v>35</v>
      </c>
      <c r="B78" s="18">
        <v>0</v>
      </c>
      <c r="C78" s="18">
        <f>'[3]Sheet1'!$B$30+'[3]Sheet1'!$B$31</f>
        <v>-25226.53182343</v>
      </c>
      <c r="D78" s="19">
        <f>'[4]Sheet1'!$C$30+'[4]Sheet1'!$C$31</f>
        <v>25951.72546731</v>
      </c>
      <c r="E78" s="20">
        <f aca="true" t="shared" si="26" ref="E78:E85">D78+C78</f>
        <v>725.1936438800003</v>
      </c>
      <c r="F78" s="19">
        <f>'[6]Sheet1'!$D$30+'[6]Sheet1'!$D$31</f>
        <v>89737.87984924001</v>
      </c>
      <c r="G78" s="60">
        <f aca="true" t="shared" si="27" ref="G78:G85">F78+E78</f>
        <v>90463.07349312001</v>
      </c>
      <c r="H78" s="107">
        <f>'[7]Sheet1'!$F$30+'[7]Sheet1'!$F$31</f>
        <v>51399.542632489996</v>
      </c>
      <c r="I78" s="60">
        <f aca="true" t="shared" si="28" ref="I78:I85">G78+H78</f>
        <v>141862.61612561002</v>
      </c>
      <c r="J78" s="19">
        <f>'[7]Sheet1'!$G$30+'[7]Sheet1'!$G$31</f>
        <v>104448.89070897</v>
      </c>
      <c r="K78" s="20">
        <f aca="true" t="shared" si="29" ref="K78:K86">I78+J78</f>
        <v>246311.50683458</v>
      </c>
      <c r="L78" s="19">
        <f>'[9]Sheet1'!$H$30+'[9]Sheet1'!$H$31</f>
        <v>67043.86100764999</v>
      </c>
      <c r="M78" s="20">
        <f aca="true" t="shared" si="30" ref="M78:M85">K78+L78</f>
        <v>313355.36784223</v>
      </c>
    </row>
    <row r="79" spans="1:13" ht="12">
      <c r="A79" s="12" t="s">
        <v>45</v>
      </c>
      <c r="B79" s="18">
        <f>84000+0+540000+113000</f>
        <v>737000</v>
      </c>
      <c r="C79" s="18">
        <f>'[6]Sheet1'!$B$28</f>
        <v>147603.92045879998</v>
      </c>
      <c r="D79" s="18">
        <f>'[4]Sheet1'!$C$28</f>
        <v>-5874.601854409998</v>
      </c>
      <c r="E79" s="20">
        <f t="shared" si="26"/>
        <v>141729.31860439</v>
      </c>
      <c r="F79" s="20">
        <f>'[6]Sheet1'!$D$28</f>
        <v>-10073.872721340002</v>
      </c>
      <c r="G79" s="60">
        <f t="shared" si="27"/>
        <v>131655.44588304998</v>
      </c>
      <c r="H79" s="19">
        <f>'[7]Sheet1'!$F$28</f>
        <v>19414.835862599986</v>
      </c>
      <c r="I79" s="60">
        <f t="shared" si="28"/>
        <v>151070.28174564996</v>
      </c>
      <c r="J79" s="19">
        <f>'[7]Sheet1'!$G$28</f>
        <v>-18784.250242439997</v>
      </c>
      <c r="K79" s="20">
        <f t="shared" si="29"/>
        <v>132286.03150320996</v>
      </c>
      <c r="L79" s="19">
        <f>'[9]Sheet1'!$H$28</f>
        <v>1343.8954836300015</v>
      </c>
      <c r="M79" s="20">
        <f t="shared" si="30"/>
        <v>133629.92698683997</v>
      </c>
    </row>
    <row r="80" spans="1:13" ht="12">
      <c r="A80" s="30" t="s">
        <v>36</v>
      </c>
      <c r="B80" s="18">
        <v>0</v>
      </c>
      <c r="C80" s="18">
        <f>'[1]Sheet1'!$B$30</f>
        <v>0</v>
      </c>
      <c r="D80" s="12"/>
      <c r="E80" s="20">
        <f t="shared" si="26"/>
        <v>0</v>
      </c>
      <c r="F80" s="12"/>
      <c r="G80" s="60">
        <f t="shared" si="27"/>
        <v>0</v>
      </c>
      <c r="H80" s="60">
        <v>0</v>
      </c>
      <c r="I80" s="105">
        <f t="shared" si="28"/>
        <v>0</v>
      </c>
      <c r="J80" s="105">
        <v>0</v>
      </c>
      <c r="K80" s="20">
        <f t="shared" si="29"/>
        <v>0</v>
      </c>
      <c r="L80" s="105">
        <f>0</f>
        <v>0</v>
      </c>
      <c r="M80" s="20">
        <f t="shared" si="30"/>
        <v>0</v>
      </c>
    </row>
    <row r="81" spans="1:13" ht="12">
      <c r="A81" s="30" t="s">
        <v>37</v>
      </c>
      <c r="B81" s="18">
        <v>-298698</v>
      </c>
      <c r="C81" s="18">
        <f>'[3]Sheet1'!$B$29</f>
        <v>-1185.576</v>
      </c>
      <c r="D81" s="18">
        <f>'[4]Sheet1'!$C$29</f>
        <v>-7196.1941110200005</v>
      </c>
      <c r="E81" s="20">
        <f t="shared" si="26"/>
        <v>-8381.77011102</v>
      </c>
      <c r="F81" s="20">
        <f>'[6]Sheet1'!$D$29</f>
        <v>-11600.13930251</v>
      </c>
      <c r="G81" s="60">
        <f t="shared" si="27"/>
        <v>-19981.90941353</v>
      </c>
      <c r="H81" s="60">
        <f>'[7]Sheet1'!$F$29</f>
        <v>-30414.25818427</v>
      </c>
      <c r="I81" s="60">
        <f t="shared" si="28"/>
        <v>-50396.1675978</v>
      </c>
      <c r="J81" s="19">
        <f>'[9]Sheet1'!$G$29</f>
        <v>-7858.846929020001</v>
      </c>
      <c r="K81" s="20">
        <f t="shared" si="29"/>
        <v>-58255.01452682</v>
      </c>
      <c r="L81" s="20">
        <f>'[9]Sheet1'!$H$29</f>
        <v>0</v>
      </c>
      <c r="M81" s="20">
        <f t="shared" si="30"/>
        <v>-58255.01452682</v>
      </c>
    </row>
    <row r="82" spans="1:13" ht="12">
      <c r="A82" s="30" t="s">
        <v>68</v>
      </c>
      <c r="B82" s="52">
        <v>0</v>
      </c>
      <c r="C82" s="18">
        <v>0</v>
      </c>
      <c r="D82" s="12"/>
      <c r="E82" s="20">
        <f t="shared" si="26"/>
        <v>0</v>
      </c>
      <c r="F82" s="12"/>
      <c r="G82" s="60">
        <f t="shared" si="27"/>
        <v>0</v>
      </c>
      <c r="H82" s="60">
        <v>0</v>
      </c>
      <c r="I82" s="105">
        <f t="shared" si="28"/>
        <v>0</v>
      </c>
      <c r="J82" s="105">
        <v>0</v>
      </c>
      <c r="K82" s="20">
        <f t="shared" si="29"/>
        <v>0</v>
      </c>
      <c r="L82" s="20">
        <f>'[9]Sheet1'!$H$29</f>
        <v>0</v>
      </c>
      <c r="M82" s="20">
        <f t="shared" si="30"/>
        <v>0</v>
      </c>
    </row>
    <row r="83" spans="1:13" ht="12">
      <c r="A83" s="30" t="s">
        <v>46</v>
      </c>
      <c r="B83" s="52">
        <v>0</v>
      </c>
      <c r="C83" s="18">
        <v>0</v>
      </c>
      <c r="D83" s="12"/>
      <c r="E83" s="20">
        <f t="shared" si="26"/>
        <v>0</v>
      </c>
      <c r="F83" s="12"/>
      <c r="G83" s="60">
        <f t="shared" si="27"/>
        <v>0</v>
      </c>
      <c r="H83" s="60">
        <v>0</v>
      </c>
      <c r="I83" s="105">
        <f t="shared" si="28"/>
        <v>0</v>
      </c>
      <c r="J83" s="105">
        <v>0</v>
      </c>
      <c r="K83" s="20">
        <f t="shared" si="29"/>
        <v>0</v>
      </c>
      <c r="L83" s="20">
        <f>'[9]Sheet1'!$H$29</f>
        <v>0</v>
      </c>
      <c r="M83" s="20">
        <f t="shared" si="30"/>
        <v>0</v>
      </c>
    </row>
    <row r="84" spans="1:13" ht="12">
      <c r="A84" s="30" t="s">
        <v>67</v>
      </c>
      <c r="B84" s="52">
        <v>0</v>
      </c>
      <c r="C84" s="18">
        <v>0</v>
      </c>
      <c r="D84" s="12"/>
      <c r="E84" s="20">
        <f t="shared" si="26"/>
        <v>0</v>
      </c>
      <c r="F84" s="12"/>
      <c r="G84" s="60">
        <f t="shared" si="27"/>
        <v>0</v>
      </c>
      <c r="H84" s="60">
        <v>0</v>
      </c>
      <c r="I84" s="105">
        <f t="shared" si="28"/>
        <v>0</v>
      </c>
      <c r="J84" s="105">
        <v>0</v>
      </c>
      <c r="K84" s="20">
        <f t="shared" si="29"/>
        <v>0</v>
      </c>
      <c r="L84" s="20">
        <f>'[9]Sheet1'!$H$29</f>
        <v>0</v>
      </c>
      <c r="M84" s="20">
        <f t="shared" si="30"/>
        <v>0</v>
      </c>
    </row>
    <row r="85" spans="1:13" ht="12">
      <c r="A85" s="31" t="s">
        <v>60</v>
      </c>
      <c r="B85" s="23">
        <v>0</v>
      </c>
      <c r="C85" s="18">
        <v>0</v>
      </c>
      <c r="D85" s="12"/>
      <c r="E85" s="20">
        <f t="shared" si="26"/>
        <v>0</v>
      </c>
      <c r="F85" s="12"/>
      <c r="G85" s="60">
        <f t="shared" si="27"/>
        <v>0</v>
      </c>
      <c r="H85" s="60">
        <v>0</v>
      </c>
      <c r="I85" s="105">
        <f t="shared" si="28"/>
        <v>0</v>
      </c>
      <c r="J85" s="105">
        <v>0</v>
      </c>
      <c r="K85" s="20">
        <f t="shared" si="29"/>
        <v>0</v>
      </c>
      <c r="L85" s="20">
        <f>'[9]Sheet1'!$H$29</f>
        <v>0</v>
      </c>
      <c r="M85" s="20">
        <f t="shared" si="30"/>
        <v>0</v>
      </c>
    </row>
    <row r="86" spans="1:13" ht="12">
      <c r="A86" s="53" t="s">
        <v>43</v>
      </c>
      <c r="B86" s="18"/>
      <c r="C86" s="23"/>
      <c r="D86" s="12"/>
      <c r="E86" s="16"/>
      <c r="F86" s="12"/>
      <c r="G86" s="16"/>
      <c r="H86" s="9"/>
      <c r="I86" s="16"/>
      <c r="J86" s="105">
        <v>0</v>
      </c>
      <c r="K86" s="20">
        <f t="shared" si="29"/>
        <v>0</v>
      </c>
      <c r="L86" s="12"/>
      <c r="M86" s="12"/>
    </row>
    <row r="87" spans="1:13" ht="12">
      <c r="A87" s="34" t="s">
        <v>38</v>
      </c>
      <c r="B87" s="26">
        <f aca="true" t="shared" si="31" ref="B87:M87">SUM(B78:B85)</f>
        <v>438302</v>
      </c>
      <c r="C87" s="26">
        <f t="shared" si="31"/>
        <v>121191.81263536998</v>
      </c>
      <c r="D87" s="26">
        <f t="shared" si="31"/>
        <v>12880.929501880002</v>
      </c>
      <c r="E87" s="26">
        <f t="shared" si="31"/>
        <v>134072.74213724997</v>
      </c>
      <c r="F87" s="26">
        <f t="shared" si="31"/>
        <v>68063.86782539001</v>
      </c>
      <c r="G87" s="26">
        <f t="shared" si="31"/>
        <v>202136.60996264</v>
      </c>
      <c r="H87" s="26">
        <f t="shared" si="31"/>
        <v>40400.120310819984</v>
      </c>
      <c r="I87" s="26">
        <f t="shared" si="31"/>
        <v>242536.73027345995</v>
      </c>
      <c r="J87" s="26">
        <f t="shared" si="31"/>
        <v>77805.79353750999</v>
      </c>
      <c r="K87" s="26">
        <f t="shared" si="31"/>
        <v>320342.52381096996</v>
      </c>
      <c r="L87" s="26">
        <f t="shared" si="31"/>
        <v>68387.75649127999</v>
      </c>
      <c r="M87" s="26">
        <f t="shared" si="31"/>
        <v>388730.28030225</v>
      </c>
    </row>
    <row r="88" spans="1:13" ht="15.75" customHeight="1">
      <c r="A88" s="54"/>
      <c r="B88" s="50"/>
      <c r="C88" s="44"/>
      <c r="H88" s="43"/>
      <c r="I88" s="44"/>
      <c r="J88" s="43"/>
      <c r="K88" s="44"/>
      <c r="L88" s="7"/>
      <c r="M88" s="7"/>
    </row>
    <row r="89" spans="1:13" ht="24">
      <c r="A89" s="55" t="s">
        <v>58</v>
      </c>
      <c r="B89" s="26">
        <f aca="true" t="shared" si="32" ref="B89:M89">B70+B87</f>
        <v>380000</v>
      </c>
      <c r="C89" s="26">
        <f t="shared" si="32"/>
        <v>142959.4064201499</v>
      </c>
      <c r="D89" s="26">
        <f t="shared" si="32"/>
        <v>-143156.43922028</v>
      </c>
      <c r="E89" s="26">
        <f t="shared" si="32"/>
        <v>-197.03280013010954</v>
      </c>
      <c r="F89" s="26">
        <f t="shared" si="32"/>
        <v>-185466.20888661986</v>
      </c>
      <c r="G89" s="26">
        <f t="shared" si="32"/>
        <v>-185663.24168674983</v>
      </c>
      <c r="H89" s="26">
        <f t="shared" si="32"/>
        <v>-91736.80688129996</v>
      </c>
      <c r="I89" s="26">
        <f t="shared" si="32"/>
        <v>-277400.04856805014</v>
      </c>
      <c r="J89" s="26">
        <f t="shared" si="32"/>
        <v>-29456.54675666998</v>
      </c>
      <c r="K89" s="26">
        <f t="shared" si="32"/>
        <v>-306856.59532471985</v>
      </c>
      <c r="L89" s="26">
        <f t="shared" si="32"/>
        <v>-13954.899723749928</v>
      </c>
      <c r="M89" s="26">
        <f t="shared" si="32"/>
        <v>-320811.4950484698</v>
      </c>
    </row>
    <row r="90" ht="12">
      <c r="C90" s="36">
        <v>15139</v>
      </c>
    </row>
    <row r="91" ht="12" hidden="1">
      <c r="C91" s="36">
        <f>C90-C89</f>
        <v>-127820.4064201499</v>
      </c>
    </row>
    <row r="92" spans="1:3" ht="12" hidden="1">
      <c r="A92" s="55" t="s">
        <v>44</v>
      </c>
      <c r="B92" s="9"/>
      <c r="C92" s="36">
        <v>0</v>
      </c>
    </row>
    <row r="93" spans="1:3" ht="12" hidden="1">
      <c r="A93" s="55" t="s">
        <v>44</v>
      </c>
      <c r="B93" s="26"/>
      <c r="C93" s="56">
        <f>C89+C92</f>
        <v>142959.4064201499</v>
      </c>
    </row>
    <row r="94" ht="12" hidden="1">
      <c r="C94" s="38">
        <f>C33-C49+C68+C87</f>
        <v>142959.4064201499</v>
      </c>
    </row>
    <row r="95" ht="12" hidden="1">
      <c r="C95" s="38">
        <f>C89-C94</f>
        <v>0</v>
      </c>
    </row>
    <row r="96" spans="1:2" ht="12" hidden="1">
      <c r="A96" s="17" t="s">
        <v>2</v>
      </c>
      <c r="B96" s="1" t="e">
        <f>#REF!</f>
        <v>#REF!</v>
      </c>
    </row>
    <row r="97" spans="1:2" ht="12" hidden="1">
      <c r="A97" s="17" t="s">
        <v>3</v>
      </c>
      <c r="B97" s="1" t="e">
        <f>#REF!</f>
        <v>#REF!</v>
      </c>
    </row>
    <row r="98" spans="1:2" ht="12" hidden="1">
      <c r="A98" s="17" t="s">
        <v>4</v>
      </c>
      <c r="B98" s="1" t="e">
        <f>#REF!</f>
        <v>#REF!</v>
      </c>
    </row>
    <row r="99" spans="1:2" ht="12" hidden="1">
      <c r="A99" s="17" t="s">
        <v>5</v>
      </c>
      <c r="B99" s="1" t="e">
        <f>#REF!</f>
        <v>#REF!</v>
      </c>
    </row>
    <row r="100" spans="1:2" ht="12" hidden="1">
      <c r="A100" s="17" t="s">
        <v>6</v>
      </c>
      <c r="B100" s="1" t="e">
        <f>#REF!</f>
        <v>#REF!</v>
      </c>
    </row>
    <row r="101" spans="1:2" ht="12" hidden="1">
      <c r="A101" s="17" t="s">
        <v>7</v>
      </c>
      <c r="B101" s="1" t="e">
        <f>#REF!</f>
        <v>#REF!</v>
      </c>
    </row>
    <row r="102" ht="12" hidden="1"/>
    <row r="103" ht="12" hidden="1"/>
    <row r="104" ht="12" hidden="1"/>
    <row r="105" spans="1:2" ht="12" hidden="1">
      <c r="A105" s="17" t="s">
        <v>13</v>
      </c>
      <c r="B105" s="57" t="e">
        <f>#REF!</f>
        <v>#REF!</v>
      </c>
    </row>
    <row r="106" spans="1:2" ht="12" hidden="1">
      <c r="A106" s="17" t="s">
        <v>14</v>
      </c>
      <c r="B106" s="57" t="e">
        <f>#REF!</f>
        <v>#REF!</v>
      </c>
    </row>
    <row r="107" spans="1:2" ht="12" hidden="1">
      <c r="A107" s="17" t="s">
        <v>15</v>
      </c>
      <c r="B107" s="57" t="e">
        <f>#REF!</f>
        <v>#REF!</v>
      </c>
    </row>
    <row r="108" spans="1:2" ht="12" hidden="1">
      <c r="A108" s="41" t="s">
        <v>16</v>
      </c>
      <c r="B108" s="57" t="e">
        <f>#REF!</f>
        <v>#REF!</v>
      </c>
    </row>
    <row r="109" spans="1:2" ht="12" hidden="1">
      <c r="A109" s="41" t="s">
        <v>17</v>
      </c>
      <c r="B109" s="57" t="e">
        <f>#REF!</f>
        <v>#REF!</v>
      </c>
    </row>
    <row r="110" spans="1:2" ht="12" hidden="1">
      <c r="A110" s="41" t="s">
        <v>18</v>
      </c>
      <c r="B110" s="57" t="e">
        <f>#REF!</f>
        <v>#REF!</v>
      </c>
    </row>
    <row r="111" spans="1:2" ht="12" hidden="1">
      <c r="A111" s="17" t="s">
        <v>19</v>
      </c>
      <c r="B111" s="57" t="e">
        <f>#REF!</f>
        <v>#REF!</v>
      </c>
    </row>
    <row r="112" ht="12" hidden="1"/>
    <row r="113" spans="1:3" ht="12" hidden="1">
      <c r="A113" s="58" t="s">
        <v>39</v>
      </c>
      <c r="B113" s="1">
        <f>C89</f>
        <v>142959.4064201499</v>
      </c>
      <c r="C113" s="36"/>
    </row>
    <row r="114" spans="1:2" ht="12" hidden="1">
      <c r="A114" s="58" t="s">
        <v>41</v>
      </c>
      <c r="B114" s="1" t="e">
        <f>#REF!</f>
        <v>#REF!</v>
      </c>
    </row>
    <row r="115" spans="1:2" ht="12" hidden="1">
      <c r="A115" s="58" t="s">
        <v>40</v>
      </c>
      <c r="B115" s="1" t="e">
        <f>#REF!</f>
        <v>#REF!</v>
      </c>
    </row>
    <row r="116" ht="0.75" customHeight="1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>
      <c r="B129" s="3" t="s">
        <v>61</v>
      </c>
    </row>
    <row r="133" ht="12">
      <c r="A133" s="3" t="s">
        <v>49</v>
      </c>
    </row>
    <row r="135" spans="1:217" ht="12">
      <c r="A135" s="59" t="s">
        <v>62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</row>
    <row r="136" spans="1:217" ht="12">
      <c r="A136" s="59" t="s">
        <v>64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</row>
  </sheetData>
  <sheetProtection password="E085" sheet="1" formatCells="0" formatColumns="0" formatRows="0" insertColumns="0" insertRows="0" insertHyperlinks="0" deleteColumns="0" deleteRows="0" sort="0" autoFilter="0" pivotTables="0"/>
  <mergeCells count="18">
    <mergeCell ref="L37:M37"/>
    <mergeCell ref="L74:M74"/>
    <mergeCell ref="C37:E37"/>
    <mergeCell ref="A72:C72"/>
    <mergeCell ref="A73:B73"/>
    <mergeCell ref="C74:E74"/>
    <mergeCell ref="H37:I37"/>
    <mergeCell ref="F74:G74"/>
    <mergeCell ref="J37:K37"/>
    <mergeCell ref="J74:K74"/>
    <mergeCell ref="H74:I74"/>
    <mergeCell ref="F37:G37"/>
    <mergeCell ref="A3:C3"/>
    <mergeCell ref="A5:C5"/>
    <mergeCell ref="A6:B6"/>
    <mergeCell ref="A35:C35"/>
    <mergeCell ref="A36:B36"/>
    <mergeCell ref="G8:I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"/>
  <sheetViews>
    <sheetView tabSelected="1" zoomScale="120" zoomScaleNormal="120" zoomScalePageLayoutView="0" workbookViewId="0" topLeftCell="A1">
      <selection activeCell="W17" sqref="W17"/>
    </sheetView>
  </sheetViews>
  <sheetFormatPr defaultColWidth="28.140625" defaultRowHeight="12.75"/>
  <cols>
    <col min="1" max="1" width="32.140625" style="63" customWidth="1"/>
    <col min="2" max="2" width="8.8515625" style="63" hidden="1" customWidth="1"/>
    <col min="3" max="3" width="13.00390625" style="63" hidden="1" customWidth="1"/>
    <col min="4" max="4" width="7.28125" style="63" hidden="1" customWidth="1"/>
    <col min="5" max="5" width="7.7109375" style="63" hidden="1" customWidth="1"/>
    <col min="6" max="6" width="7.28125" style="63" hidden="1" customWidth="1"/>
    <col min="7" max="7" width="10.00390625" style="63" hidden="1" customWidth="1"/>
    <col min="8" max="8" width="7.8515625" style="63" hidden="1" customWidth="1"/>
    <col min="9" max="9" width="8.421875" style="63" hidden="1" customWidth="1"/>
    <col min="10" max="10" width="9.00390625" style="63" customWidth="1"/>
    <col min="11" max="11" width="10.140625" style="63" customWidth="1"/>
    <col min="12" max="12" width="10.421875" style="63" customWidth="1"/>
    <col min="13" max="13" width="11.421875" style="63" customWidth="1"/>
    <col min="14" max="14" width="9.28125" style="63" customWidth="1"/>
    <col min="15" max="15" width="13.140625" style="63" hidden="1" customWidth="1"/>
    <col min="16" max="16" width="12.8515625" style="63" hidden="1" customWidth="1"/>
    <col min="17" max="17" width="10.57421875" style="63" hidden="1" customWidth="1"/>
    <col min="18" max="18" width="10.00390625" style="63" hidden="1" customWidth="1"/>
    <col min="19" max="19" width="14.00390625" style="63" hidden="1" customWidth="1"/>
    <col min="20" max="20" width="13.7109375" style="63" hidden="1" customWidth="1"/>
    <col min="21" max="21" width="11.421875" style="63" hidden="1" customWidth="1"/>
    <col min="22" max="22" width="10.28125" style="63" hidden="1" customWidth="1"/>
    <col min="23" max="16384" width="28.140625" style="63" customWidth="1"/>
  </cols>
  <sheetData>
    <row r="1" ht="11.25">
      <c r="A1" s="62" t="s">
        <v>77</v>
      </c>
    </row>
    <row r="2" ht="11.25">
      <c r="A2" s="64" t="s">
        <v>108</v>
      </c>
    </row>
    <row r="5" spans="3:21" ht="11.25">
      <c r="C5" s="130">
        <v>2017</v>
      </c>
      <c r="D5" s="130"/>
      <c r="E5" s="130"/>
      <c r="G5" s="130">
        <v>2017</v>
      </c>
      <c r="H5" s="130"/>
      <c r="I5" s="130"/>
      <c r="K5" s="130">
        <v>2017</v>
      </c>
      <c r="L5" s="130"/>
      <c r="M5" s="130"/>
      <c r="O5" s="130">
        <v>2017</v>
      </c>
      <c r="P5" s="130"/>
      <c r="Q5" s="130"/>
      <c r="S5" s="128">
        <v>2017</v>
      </c>
      <c r="T5" s="128"/>
      <c r="U5" s="128"/>
    </row>
    <row r="6" spans="3:21" ht="12.75" customHeight="1">
      <c r="C6" s="130" t="s">
        <v>78</v>
      </c>
      <c r="D6" s="131"/>
      <c r="E6" s="131"/>
      <c r="G6" s="130" t="s">
        <v>79</v>
      </c>
      <c r="H6" s="131"/>
      <c r="I6" s="131"/>
      <c r="K6" s="130" t="s">
        <v>99</v>
      </c>
      <c r="L6" s="131"/>
      <c r="M6" s="131"/>
      <c r="O6" s="130" t="s">
        <v>102</v>
      </c>
      <c r="P6" s="131"/>
      <c r="Q6" s="131"/>
      <c r="S6" s="128" t="s">
        <v>105</v>
      </c>
      <c r="T6" s="129"/>
      <c r="U6" s="129"/>
    </row>
    <row r="7" spans="2:22" ht="54.75" customHeight="1">
      <c r="B7" s="66">
        <v>42736</v>
      </c>
      <c r="C7" s="67" t="s">
        <v>80</v>
      </c>
      <c r="D7" s="67" t="s">
        <v>81</v>
      </c>
      <c r="E7" s="68" t="s">
        <v>82</v>
      </c>
      <c r="F7" s="69" t="s">
        <v>83</v>
      </c>
      <c r="G7" s="67" t="s">
        <v>80</v>
      </c>
      <c r="H7" s="67" t="s">
        <v>81</v>
      </c>
      <c r="I7" s="68" t="s">
        <v>82</v>
      </c>
      <c r="J7" s="69" t="s">
        <v>84</v>
      </c>
      <c r="K7" s="67" t="s">
        <v>80</v>
      </c>
      <c r="L7" s="67" t="s">
        <v>81</v>
      </c>
      <c r="M7" s="68" t="s">
        <v>82</v>
      </c>
      <c r="N7" s="69" t="s">
        <v>100</v>
      </c>
      <c r="O7" s="67" t="s">
        <v>80</v>
      </c>
      <c r="P7" s="67" t="s">
        <v>81</v>
      </c>
      <c r="Q7" s="68" t="s">
        <v>82</v>
      </c>
      <c r="R7" s="69" t="s">
        <v>103</v>
      </c>
      <c r="S7" s="67" t="s">
        <v>80</v>
      </c>
      <c r="T7" s="67" t="s">
        <v>81</v>
      </c>
      <c r="U7" s="68" t="s">
        <v>82</v>
      </c>
      <c r="V7" s="69" t="s">
        <v>106</v>
      </c>
    </row>
    <row r="8" spans="2:56" ht="11.25">
      <c r="B8" s="65" t="s">
        <v>0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5" t="s">
        <v>0</v>
      </c>
      <c r="I8" s="65" t="s">
        <v>0</v>
      </c>
      <c r="J8" s="65" t="s">
        <v>0</v>
      </c>
      <c r="K8" s="65" t="s">
        <v>0</v>
      </c>
      <c r="L8" s="65" t="s">
        <v>0</v>
      </c>
      <c r="M8" s="65" t="s">
        <v>0</v>
      </c>
      <c r="N8" s="65" t="s">
        <v>0</v>
      </c>
      <c r="O8" s="65" t="s">
        <v>0</v>
      </c>
      <c r="P8" s="65" t="s">
        <v>0</v>
      </c>
      <c r="Q8" s="65" t="s">
        <v>0</v>
      </c>
      <c r="R8" s="65" t="s">
        <v>0</v>
      </c>
      <c r="S8" s="65" t="s">
        <v>0</v>
      </c>
      <c r="T8" s="65" t="s">
        <v>0</v>
      </c>
      <c r="U8" s="65" t="s">
        <v>0</v>
      </c>
      <c r="V8" s="65" t="s">
        <v>0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0"/>
      <c r="AH8" s="70"/>
      <c r="AI8" s="70"/>
      <c r="AJ8" s="70"/>
      <c r="AK8" s="70"/>
      <c r="AL8" s="70"/>
      <c r="AM8" s="70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 t="s">
        <v>0</v>
      </c>
      <c r="BB8" s="74" t="s">
        <v>0</v>
      </c>
      <c r="BC8" s="75" t="s">
        <v>0</v>
      </c>
      <c r="BD8" s="76" t="s">
        <v>0</v>
      </c>
    </row>
    <row r="9" spans="1:22" ht="11.25">
      <c r="A9" s="77" t="s">
        <v>85</v>
      </c>
      <c r="B9" s="78"/>
      <c r="C9" s="78"/>
      <c r="D9" s="78"/>
      <c r="F9" s="78"/>
      <c r="G9" s="78"/>
      <c r="H9" s="78"/>
      <c r="I9" s="78"/>
      <c r="J9" s="79"/>
      <c r="K9" s="78"/>
      <c r="L9" s="78"/>
      <c r="M9" s="78"/>
      <c r="N9" s="78"/>
      <c r="O9" s="78"/>
      <c r="P9" s="78"/>
      <c r="Q9" s="78"/>
      <c r="R9" s="79"/>
      <c r="S9" s="78"/>
      <c r="T9" s="78"/>
      <c r="U9" s="78"/>
      <c r="V9" s="79"/>
    </row>
    <row r="10" spans="1:22" ht="11.25">
      <c r="A10" s="80" t="s">
        <v>86</v>
      </c>
      <c r="B10" s="81"/>
      <c r="C10" s="81"/>
      <c r="D10" s="81"/>
      <c r="F10" s="81"/>
      <c r="G10" s="81"/>
      <c r="H10" s="81"/>
      <c r="I10" s="81"/>
      <c r="J10" s="82"/>
      <c r="K10" s="81"/>
      <c r="L10" s="81"/>
      <c r="M10" s="81"/>
      <c r="N10" s="81"/>
      <c r="O10" s="81"/>
      <c r="P10" s="81"/>
      <c r="Q10" s="81"/>
      <c r="R10" s="82"/>
      <c r="S10" s="81"/>
      <c r="T10" s="81"/>
      <c r="U10" s="81"/>
      <c r="V10" s="82"/>
    </row>
    <row r="11" spans="1:22" ht="11.25">
      <c r="A11" s="82"/>
      <c r="B11" s="81"/>
      <c r="C11" s="81"/>
      <c r="D11" s="81"/>
      <c r="F11" s="81"/>
      <c r="G11" s="81"/>
      <c r="H11" s="81"/>
      <c r="I11" s="81"/>
      <c r="J11" s="82"/>
      <c r="K11" s="81"/>
      <c r="L11" s="81"/>
      <c r="M11" s="81"/>
      <c r="N11" s="81"/>
      <c r="O11" s="81"/>
      <c r="P11" s="81"/>
      <c r="Q11" s="81"/>
      <c r="R11" s="82"/>
      <c r="S11" s="81"/>
      <c r="T11" s="81"/>
      <c r="U11" s="81"/>
      <c r="V11" s="82"/>
    </row>
    <row r="12" spans="1:22" ht="11.25">
      <c r="A12" s="83" t="s">
        <v>87</v>
      </c>
      <c r="B12" s="84">
        <f>34546105849/1000000</f>
        <v>34546.105849</v>
      </c>
      <c r="C12" s="85">
        <f>30757031974/1000000</f>
        <v>30757.031974</v>
      </c>
      <c r="D12" s="86">
        <v>0</v>
      </c>
      <c r="E12" s="87">
        <v>0</v>
      </c>
      <c r="F12" s="85">
        <f>B12+C12+D12+E12</f>
        <v>65303.137823</v>
      </c>
      <c r="G12" s="88">
        <f>30982268460/1000000</f>
        <v>30982.26846</v>
      </c>
      <c r="H12" s="81">
        <f>250000000/1000000</f>
        <v>250</v>
      </c>
      <c r="I12" s="81">
        <f>0</f>
        <v>0</v>
      </c>
      <c r="J12" s="89">
        <f>F12+G12+H12+I12</f>
        <v>96535.40628299999</v>
      </c>
      <c r="K12" s="108">
        <f>31409577492/1000000</f>
        <v>31409.577492</v>
      </c>
      <c r="L12" s="89">
        <f>159793047.36/1000000</f>
        <v>159.79304736</v>
      </c>
      <c r="M12" s="89">
        <v>0</v>
      </c>
      <c r="N12" s="89">
        <f>J12+K12+L12+M12</f>
        <v>128104.77682235999</v>
      </c>
      <c r="O12" s="89">
        <f>35546872488/1000000</f>
        <v>35546.872488</v>
      </c>
      <c r="P12" s="89">
        <f>228531502/1000000</f>
        <v>228.531502</v>
      </c>
      <c r="Q12" s="89">
        <v>0</v>
      </c>
      <c r="R12" s="89">
        <f>N12+O12+P12+Q12</f>
        <v>163880.18081236</v>
      </c>
      <c r="S12" s="89">
        <f>32616392027/1000000</f>
        <v>32616.392027</v>
      </c>
      <c r="T12" s="89">
        <f>710811234.64/1000000</f>
        <v>710.81123464</v>
      </c>
      <c r="U12" s="89">
        <f>6295522513/1000000</f>
        <v>6295.522513</v>
      </c>
      <c r="V12" s="89">
        <f>R12+S12+T12+U12</f>
        <v>203502.90658699998</v>
      </c>
    </row>
    <row r="13" spans="1:22" ht="11.25">
      <c r="A13" s="83"/>
      <c r="B13" s="90"/>
      <c r="C13" s="86"/>
      <c r="D13" s="86"/>
      <c r="E13" s="87"/>
      <c r="F13" s="86"/>
      <c r="G13" s="81"/>
      <c r="H13" s="81"/>
      <c r="I13" s="81"/>
      <c r="J13" s="89"/>
      <c r="K13" s="81"/>
      <c r="L13" s="81"/>
      <c r="M13" s="81"/>
      <c r="N13" s="89"/>
      <c r="O13" s="81"/>
      <c r="P13" s="81"/>
      <c r="Q13" s="81"/>
      <c r="R13" s="89"/>
      <c r="S13" s="89"/>
      <c r="T13" s="81"/>
      <c r="U13" s="81"/>
      <c r="V13" s="89"/>
    </row>
    <row r="14" spans="1:22" ht="11.25">
      <c r="A14" s="83" t="s">
        <v>88</v>
      </c>
      <c r="B14" s="84">
        <f>26574631354.76/1000000</f>
        <v>26574.631354759997</v>
      </c>
      <c r="C14" s="85">
        <f>12241171397/1000000</f>
        <v>12241.171397</v>
      </c>
      <c r="D14" s="85">
        <f>10501892472.02/1000000</f>
        <v>10501.892472020001</v>
      </c>
      <c r="E14" s="87">
        <v>0</v>
      </c>
      <c r="F14" s="85">
        <f>B14+C14+D14+E14</f>
        <v>49317.69522378</v>
      </c>
      <c r="G14" s="88">
        <f>13812722714/1000000</f>
        <v>13812.722714</v>
      </c>
      <c r="H14" s="88">
        <f>117153080/1000000</f>
        <v>117.15308</v>
      </c>
      <c r="I14" s="81">
        <f>0</f>
        <v>0</v>
      </c>
      <c r="J14" s="89">
        <f>F14+G14+H14+I14</f>
        <v>63247.57101778</v>
      </c>
      <c r="K14" s="108">
        <f>15138562318/1000000</f>
        <v>15138.562318</v>
      </c>
      <c r="L14" s="89">
        <f>28955881360.1/1000000</f>
        <v>28955.8813601</v>
      </c>
      <c r="M14" s="89">
        <f>6389700000/1000000</f>
        <v>6389.7</v>
      </c>
      <c r="N14" s="89">
        <f>J14+K14+L14+M14</f>
        <v>113731.71469588</v>
      </c>
      <c r="O14" s="89">
        <f>13826130143/1000000</f>
        <v>13826.130143</v>
      </c>
      <c r="P14" s="89">
        <f>6363849307.09/1000000</f>
        <v>6363.84930709</v>
      </c>
      <c r="Q14" s="89">
        <f>276721016/1000000</f>
        <v>276.721016</v>
      </c>
      <c r="R14" s="89">
        <f>N14+O14+P14+Q14</f>
        <v>134198.41516196998</v>
      </c>
      <c r="S14" s="89">
        <f>13756873101/1000000</f>
        <v>13756.873101</v>
      </c>
      <c r="T14" s="89">
        <f>471404436.7/1000000</f>
        <v>471.40443669999996</v>
      </c>
      <c r="U14" s="89">
        <v>0</v>
      </c>
      <c r="V14" s="89">
        <f>R14+S14+T14+U14</f>
        <v>148426.69269966998</v>
      </c>
    </row>
    <row r="15" spans="1:22" ht="11.25">
      <c r="A15" s="83"/>
      <c r="B15" s="86"/>
      <c r="C15" s="86"/>
      <c r="D15" s="86"/>
      <c r="E15" s="87"/>
      <c r="F15" s="86"/>
      <c r="G15" s="81"/>
      <c r="H15" s="81"/>
      <c r="I15" s="81"/>
      <c r="J15" s="89"/>
      <c r="K15" s="81"/>
      <c r="L15" s="81"/>
      <c r="M15" s="81"/>
      <c r="N15" s="89"/>
      <c r="O15" s="81"/>
      <c r="P15" s="81"/>
      <c r="Q15" s="81"/>
      <c r="R15" s="89"/>
      <c r="S15" s="81"/>
      <c r="T15" s="81"/>
      <c r="U15" s="89"/>
      <c r="V15" s="89"/>
    </row>
    <row r="16" spans="1:22" ht="11.25">
      <c r="A16" s="83" t="s">
        <v>89</v>
      </c>
      <c r="B16" s="91">
        <f>512448593/1000000</f>
        <v>512.448593</v>
      </c>
      <c r="C16" s="85">
        <f>551305410/1000000</f>
        <v>551.30541</v>
      </c>
      <c r="D16" s="86">
        <v>0</v>
      </c>
      <c r="E16" s="87">
        <v>0</v>
      </c>
      <c r="F16" s="85">
        <f>B16+C16+D16+E16</f>
        <v>1063.754003</v>
      </c>
      <c r="G16" s="88">
        <f>598946357/1000000</f>
        <v>598.946357</v>
      </c>
      <c r="H16" s="88">
        <f>230280000/1000000</f>
        <v>230.28</v>
      </c>
      <c r="I16" s="81">
        <f>0</f>
        <v>0</v>
      </c>
      <c r="J16" s="89">
        <f>F16+G16+H16+I16</f>
        <v>1892.98036</v>
      </c>
      <c r="K16" s="108">
        <f>637102757/1000000</f>
        <v>637.102757</v>
      </c>
      <c r="L16" s="89">
        <f>0</f>
        <v>0</v>
      </c>
      <c r="M16" s="89">
        <v>0</v>
      </c>
      <c r="N16" s="89">
        <f>J16+K16+L16+M16</f>
        <v>2530.083117</v>
      </c>
      <c r="O16" s="89">
        <f>632875694/1000000</f>
        <v>632.875694</v>
      </c>
      <c r="P16" s="89">
        <v>0</v>
      </c>
      <c r="Q16" s="89">
        <v>0</v>
      </c>
      <c r="R16" s="89">
        <f>N16+O16+P16+Q16</f>
        <v>3162.958811</v>
      </c>
      <c r="S16" s="89">
        <f>527908548/1000000</f>
        <v>527.908548</v>
      </c>
      <c r="T16" s="89">
        <f>0</f>
        <v>0</v>
      </c>
      <c r="U16" s="89">
        <f>0</f>
        <v>0</v>
      </c>
      <c r="V16" s="89">
        <f>R16+S16+T16+U16</f>
        <v>3690.867359</v>
      </c>
    </row>
    <row r="17" spans="1:22" ht="11.25">
      <c r="A17" s="83"/>
      <c r="B17" s="86"/>
      <c r="C17" s="86"/>
      <c r="D17" s="86"/>
      <c r="E17" s="87"/>
      <c r="F17" s="86"/>
      <c r="G17" s="81"/>
      <c r="H17" s="81"/>
      <c r="I17" s="81"/>
      <c r="J17" s="89"/>
      <c r="K17" s="81"/>
      <c r="L17" s="81"/>
      <c r="M17" s="81"/>
      <c r="N17" s="89"/>
      <c r="O17" s="81"/>
      <c r="P17" s="81"/>
      <c r="Q17" s="81"/>
      <c r="R17" s="89"/>
      <c r="S17" s="81"/>
      <c r="T17" s="81"/>
      <c r="U17" s="81"/>
      <c r="V17" s="89"/>
    </row>
    <row r="18" spans="1:22" ht="11.25">
      <c r="A18" s="83" t="s">
        <v>90</v>
      </c>
      <c r="B18" s="92">
        <f>4315520870/1000000</f>
        <v>4315.52087</v>
      </c>
      <c r="C18" s="93">
        <f>3547770541/1000000</f>
        <v>3547.770541</v>
      </c>
      <c r="D18" s="86">
        <v>0</v>
      </c>
      <c r="E18" s="87">
        <v>0</v>
      </c>
      <c r="F18" s="85">
        <f>B18+C18+D18+E18</f>
        <v>7863.291411</v>
      </c>
      <c r="G18" s="88">
        <f>3481913570/1000000</f>
        <v>3481.91357</v>
      </c>
      <c r="H18" s="88">
        <f>24328426050/1000000</f>
        <v>24328.42605</v>
      </c>
      <c r="I18" s="81">
        <f>0</f>
        <v>0</v>
      </c>
      <c r="J18" s="89">
        <f>F18+G18+H18+I18</f>
        <v>35673.631031</v>
      </c>
      <c r="K18" s="108">
        <f>3542918369/1000000</f>
        <v>3542.918369</v>
      </c>
      <c r="L18" s="89">
        <f>4965995690.4/1000000</f>
        <v>4965.9956904</v>
      </c>
      <c r="M18" s="89">
        <v>0</v>
      </c>
      <c r="N18" s="89">
        <f>J18+K18+L18+M18</f>
        <v>44182.545090399995</v>
      </c>
      <c r="O18" s="89">
        <f>3535761118/1000000</f>
        <v>3535.761118</v>
      </c>
      <c r="P18" s="81">
        <f>195000000/1000000</f>
        <v>195</v>
      </c>
      <c r="Q18" s="89">
        <v>0</v>
      </c>
      <c r="R18" s="89">
        <f>N18+O18+P18+Q18</f>
        <v>47913.3062084</v>
      </c>
      <c r="S18" s="89">
        <f>3483346160/1000000</f>
        <v>3483.34616</v>
      </c>
      <c r="T18" s="89">
        <f>0</f>
        <v>0</v>
      </c>
      <c r="U18" s="89">
        <f>0</f>
        <v>0</v>
      </c>
      <c r="V18" s="89">
        <f>R18+S18+T18+U18</f>
        <v>51396.6523684</v>
      </c>
    </row>
    <row r="19" spans="1:22" ht="11.25">
      <c r="A19" s="83"/>
      <c r="B19" s="86"/>
      <c r="C19" s="86"/>
      <c r="D19" s="86"/>
      <c r="E19" s="87"/>
      <c r="F19" s="86"/>
      <c r="G19" s="81"/>
      <c r="H19" s="81"/>
      <c r="I19" s="81"/>
      <c r="J19" s="89"/>
      <c r="K19" s="81"/>
      <c r="L19" s="81"/>
      <c r="M19" s="81"/>
      <c r="N19" s="89"/>
      <c r="O19" s="81"/>
      <c r="P19" s="81"/>
      <c r="Q19" s="89"/>
      <c r="R19" s="89"/>
      <c r="S19" s="81"/>
      <c r="T19" s="81"/>
      <c r="U19" s="81"/>
      <c r="V19" s="89"/>
    </row>
    <row r="20" spans="1:22" ht="11.25">
      <c r="A20" s="83" t="s">
        <v>91</v>
      </c>
      <c r="B20" s="92">
        <f>12813252428/1000000</f>
        <v>12813.252428</v>
      </c>
      <c r="C20" s="85">
        <f>13584369185/1000000</f>
        <v>13584.369185</v>
      </c>
      <c r="D20" s="85">
        <f>46055528424/1000000</f>
        <v>46055.528424</v>
      </c>
      <c r="E20" s="87">
        <v>0</v>
      </c>
      <c r="F20" s="85">
        <f>B20+C20+D20+E20</f>
        <v>72453.150037</v>
      </c>
      <c r="G20" s="88">
        <f>15836658524/1000000</f>
        <v>15836.658524</v>
      </c>
      <c r="H20" s="88">
        <f>13789680800/1000000</f>
        <v>13789.6808</v>
      </c>
      <c r="I20" s="88">
        <f>1375000000/1000000</f>
        <v>1375</v>
      </c>
      <c r="J20" s="89">
        <f>F20+G20+H20+I20</f>
        <v>103454.489361</v>
      </c>
      <c r="K20" s="108">
        <f>11490431844/1000000</f>
        <v>11490.431844</v>
      </c>
      <c r="L20" s="89">
        <f>33120660766/1000000</f>
        <v>33120.660766</v>
      </c>
      <c r="M20" s="89">
        <v>0</v>
      </c>
      <c r="N20" s="89">
        <f>J20+K20+L20+M20</f>
        <v>148065.581971</v>
      </c>
      <c r="O20" s="89">
        <f>11602244893/1000000</f>
        <v>11602.244893</v>
      </c>
      <c r="P20" s="89">
        <f>2302100000/1000000</f>
        <v>2302.1</v>
      </c>
      <c r="Q20" s="89">
        <v>0</v>
      </c>
      <c r="R20" s="89">
        <f>N20+O20+P20+Q20</f>
        <v>161969.926864</v>
      </c>
      <c r="S20" s="89">
        <f>11713357503/1000000</f>
        <v>11713.357503</v>
      </c>
      <c r="T20" s="89">
        <f>2710220000/1000000</f>
        <v>2710.22</v>
      </c>
      <c r="U20" s="89">
        <f>0</f>
        <v>0</v>
      </c>
      <c r="V20" s="89">
        <f>R20+S20+T20+U20</f>
        <v>176393.50436700002</v>
      </c>
    </row>
    <row r="21" spans="1:22" ht="11.25">
      <c r="A21" s="83"/>
      <c r="B21" s="86"/>
      <c r="C21" s="86"/>
      <c r="D21" s="86"/>
      <c r="E21" s="87"/>
      <c r="F21" s="86"/>
      <c r="G21" s="81"/>
      <c r="H21" s="81"/>
      <c r="I21" s="81"/>
      <c r="J21" s="89"/>
      <c r="K21" s="81"/>
      <c r="L21" s="81"/>
      <c r="M21" s="81"/>
      <c r="N21" s="89"/>
      <c r="O21" s="81"/>
      <c r="P21" s="81"/>
      <c r="Q21" s="89"/>
      <c r="R21" s="89"/>
      <c r="S21" s="81"/>
      <c r="T21" s="81"/>
      <c r="U21" s="81"/>
      <c r="V21" s="89"/>
    </row>
    <row r="22" spans="1:22" ht="11.25">
      <c r="A22" s="83" t="s">
        <v>92</v>
      </c>
      <c r="B22" s="92">
        <f>122878415/1000000</f>
        <v>122.878415</v>
      </c>
      <c r="C22" s="85">
        <f>85003415/1000000</f>
        <v>85.003415</v>
      </c>
      <c r="D22" s="86">
        <v>0</v>
      </c>
      <c r="E22" s="87">
        <v>0</v>
      </c>
      <c r="F22" s="85">
        <f>B22+C22+D22+E22</f>
        <v>207.88183</v>
      </c>
      <c r="G22" s="88">
        <f>126478142/1000000</f>
        <v>126.478142</v>
      </c>
      <c r="H22" s="88">
        <f>0</f>
        <v>0</v>
      </c>
      <c r="I22" s="81">
        <f>0</f>
        <v>0</v>
      </c>
      <c r="J22" s="89">
        <f>F22+G22+H22+I22</f>
        <v>334.359972</v>
      </c>
      <c r="K22" s="108">
        <f>77037157/1000000</f>
        <v>77.037157</v>
      </c>
      <c r="L22" s="89">
        <f>174118723.2/1000000</f>
        <v>174.11872319999998</v>
      </c>
      <c r="M22" s="89">
        <v>0</v>
      </c>
      <c r="N22" s="89">
        <f>J22+K22+L22+M22</f>
        <v>585.5158521999999</v>
      </c>
      <c r="O22" s="89">
        <f>79095049/1000000</f>
        <v>79.095049</v>
      </c>
      <c r="P22" s="89">
        <f>324214067.8/1000000</f>
        <v>324.2140678</v>
      </c>
      <c r="Q22" s="89">
        <v>0</v>
      </c>
      <c r="R22" s="89">
        <f>N22+O22+P22+Q22</f>
        <v>988.824969</v>
      </c>
      <c r="S22" s="89">
        <f>77683031/1000000</f>
        <v>77.683031</v>
      </c>
      <c r="T22" s="81">
        <f>75000000/1000000</f>
        <v>75</v>
      </c>
      <c r="U22" s="89">
        <f>0</f>
        <v>0</v>
      </c>
      <c r="V22" s="89">
        <f>R22+S22+T22+U22</f>
        <v>1141.508</v>
      </c>
    </row>
    <row r="23" spans="1:22" ht="11.25">
      <c r="A23" s="83"/>
      <c r="B23" s="86"/>
      <c r="C23" s="86"/>
      <c r="D23" s="86"/>
      <c r="E23" s="87"/>
      <c r="F23" s="86"/>
      <c r="G23" s="81"/>
      <c r="H23" s="81"/>
      <c r="I23" s="81"/>
      <c r="J23" s="89"/>
      <c r="K23" s="81"/>
      <c r="L23" s="81"/>
      <c r="M23" s="81"/>
      <c r="N23" s="89"/>
      <c r="O23" s="81"/>
      <c r="P23" s="81"/>
      <c r="Q23" s="81"/>
      <c r="R23" s="89"/>
      <c r="S23" s="81"/>
      <c r="T23" s="81"/>
      <c r="U23" s="81"/>
      <c r="V23" s="89"/>
    </row>
    <row r="24" spans="1:22" ht="11.25">
      <c r="A24" s="83" t="s">
        <v>93</v>
      </c>
      <c r="B24" s="92">
        <f>12186302441/1000000</f>
        <v>12186.302441</v>
      </c>
      <c r="C24" s="86">
        <v>0</v>
      </c>
      <c r="D24" s="86">
        <v>0</v>
      </c>
      <c r="E24" s="85">
        <f>46918076888/1000000</f>
        <v>46918.076888</v>
      </c>
      <c r="F24" s="85">
        <f>B24+C24+D24+E24</f>
        <v>59104.379329</v>
      </c>
      <c r="G24" s="88">
        <f>1061985827/1000000</f>
        <v>1061.985827</v>
      </c>
      <c r="H24" s="88">
        <f>0</f>
        <v>0</v>
      </c>
      <c r="I24" s="88">
        <f>77193798025/1000000</f>
        <v>77193.798025</v>
      </c>
      <c r="J24" s="89">
        <f>F24+G24+H24+I24</f>
        <v>137360.16318099998</v>
      </c>
      <c r="K24" s="108">
        <f>793585511/1000000</f>
        <v>793.585511</v>
      </c>
      <c r="L24" s="89">
        <f>3793450000/1000000</f>
        <v>3793.45</v>
      </c>
      <c r="M24" s="89">
        <f>44426434280/1000000</f>
        <v>44426.43428</v>
      </c>
      <c r="N24" s="89">
        <f>J24+K24+L24+M24</f>
        <v>186373.632972</v>
      </c>
      <c r="O24" s="89">
        <f>96236164/1000000</f>
        <v>96.236164</v>
      </c>
      <c r="P24" s="89">
        <f>2187616900/1000000</f>
        <v>2187.6169</v>
      </c>
      <c r="Q24" s="89">
        <f>6523136491/1000000</f>
        <v>6523.136491</v>
      </c>
      <c r="R24" s="89">
        <f>N24+O24+P24+Q24</f>
        <v>195180.622527</v>
      </c>
      <c r="S24" s="89">
        <f>463435708/1000000</f>
        <v>463.435708</v>
      </c>
      <c r="T24" s="89">
        <f>981527000/1000000</f>
        <v>981.527</v>
      </c>
      <c r="U24" s="89">
        <f>16635355793.43/1000000</f>
        <v>16635.35579343</v>
      </c>
      <c r="V24" s="89">
        <f>R24+S24+T24+U24</f>
        <v>213260.94102843</v>
      </c>
    </row>
    <row r="25" spans="1:22" ht="11.25">
      <c r="A25" s="83"/>
      <c r="B25" s="86"/>
      <c r="C25" s="86"/>
      <c r="D25" s="86"/>
      <c r="E25" s="87"/>
      <c r="F25" s="86"/>
      <c r="G25" s="81"/>
      <c r="H25" s="81"/>
      <c r="I25" s="81"/>
      <c r="J25" s="89"/>
      <c r="K25" s="88"/>
      <c r="L25" s="81"/>
      <c r="M25" s="81"/>
      <c r="N25" s="89"/>
      <c r="O25" s="81"/>
      <c r="P25" s="81"/>
      <c r="Q25" s="81"/>
      <c r="R25" s="89"/>
      <c r="S25" s="81"/>
      <c r="T25" s="81"/>
      <c r="U25" s="81"/>
      <c r="V25" s="89"/>
    </row>
    <row r="26" spans="1:22" ht="11.25">
      <c r="A26" s="83" t="s">
        <v>94</v>
      </c>
      <c r="B26" s="86">
        <v>0</v>
      </c>
      <c r="C26" s="86">
        <v>0</v>
      </c>
      <c r="D26" s="86">
        <v>0</v>
      </c>
      <c r="E26" s="87">
        <v>0</v>
      </c>
      <c r="F26" s="86">
        <f>B26+C26+D26+E26</f>
        <v>0</v>
      </c>
      <c r="G26" s="81">
        <f>0</f>
        <v>0</v>
      </c>
      <c r="H26" s="81">
        <f>0</f>
        <v>0</v>
      </c>
      <c r="I26" s="81">
        <f>0</f>
        <v>0</v>
      </c>
      <c r="J26" s="89">
        <f>F26+G26+H26+I26</f>
        <v>0</v>
      </c>
      <c r="K26" s="88">
        <f>0</f>
        <v>0</v>
      </c>
      <c r="L26" s="89">
        <f>0</f>
        <v>0</v>
      </c>
      <c r="M26" s="89">
        <v>0</v>
      </c>
      <c r="N26" s="89">
        <f>J26+K26+L26+M26</f>
        <v>0</v>
      </c>
      <c r="O26" s="89">
        <v>0</v>
      </c>
      <c r="P26" s="89">
        <v>0</v>
      </c>
      <c r="Q26" s="89">
        <v>0</v>
      </c>
      <c r="R26" s="89">
        <f>N26+O26+P26+Q26</f>
        <v>0</v>
      </c>
      <c r="S26" s="89">
        <f>0</f>
        <v>0</v>
      </c>
      <c r="T26" s="89">
        <f>0</f>
        <v>0</v>
      </c>
      <c r="U26" s="89">
        <v>0</v>
      </c>
      <c r="V26" s="89">
        <f>R26+S26+T26+U26</f>
        <v>0</v>
      </c>
    </row>
    <row r="27" spans="1:22" ht="11.25">
      <c r="A27" s="83"/>
      <c r="B27" s="86"/>
      <c r="C27" s="86"/>
      <c r="D27" s="86"/>
      <c r="E27" s="87"/>
      <c r="F27" s="86"/>
      <c r="G27" s="81"/>
      <c r="H27" s="81"/>
      <c r="I27" s="81"/>
      <c r="J27" s="89"/>
      <c r="K27" s="88"/>
      <c r="L27" s="81"/>
      <c r="M27" s="81"/>
      <c r="N27" s="89"/>
      <c r="O27" s="81"/>
      <c r="P27" s="81"/>
      <c r="Q27" s="89"/>
      <c r="R27" s="89"/>
      <c r="S27" s="81"/>
      <c r="T27" s="81"/>
      <c r="U27" s="81"/>
      <c r="V27" s="89"/>
    </row>
    <row r="28" spans="1:22" ht="11.25">
      <c r="A28" s="83" t="s">
        <v>95</v>
      </c>
      <c r="B28" s="92">
        <f>19382849316.76/1000000</f>
        <v>19382.84931676</v>
      </c>
      <c r="C28" s="85">
        <f>17214075889/1000000</f>
        <v>17214.075889</v>
      </c>
      <c r="D28" s="85">
        <f>143861636/1000000</f>
        <v>143.861636</v>
      </c>
      <c r="E28" s="85">
        <f>9756031485/1000000</f>
        <v>9756.031485</v>
      </c>
      <c r="F28" s="85">
        <f>B28+C28+D28+E28</f>
        <v>46496.818326759996</v>
      </c>
      <c r="G28" s="88">
        <f>19240287396/1000000</f>
        <v>19240.287396</v>
      </c>
      <c r="H28" s="88">
        <f>9469698198.78/1000000</f>
        <v>9469.69819878</v>
      </c>
      <c r="I28" s="88">
        <f>476867374/1000000</f>
        <v>476.867374</v>
      </c>
      <c r="J28" s="89">
        <f>F28+G28+H28+I28</f>
        <v>75683.67129553999</v>
      </c>
      <c r="K28" s="108">
        <f>18140312473/1000000</f>
        <v>18140.312473</v>
      </c>
      <c r="L28" s="89">
        <f>27701367794.72/1000000</f>
        <v>27701.36779472</v>
      </c>
      <c r="M28" s="81">
        <f>1450000000/1000000</f>
        <v>1450</v>
      </c>
      <c r="N28" s="89">
        <f>J28+K28+L28+M28</f>
        <v>122975.35156325999</v>
      </c>
      <c r="O28" s="89">
        <f>17890211101/1000000</f>
        <v>17890.211101</v>
      </c>
      <c r="P28" s="89">
        <f>11929275248.6/1000000</f>
        <v>11929.2752486</v>
      </c>
      <c r="Q28" s="89">
        <v>0</v>
      </c>
      <c r="R28" s="89">
        <f>N28+O28+P28+Q28</f>
        <v>152794.83791285998</v>
      </c>
      <c r="S28" s="89">
        <f>17837744268/1000000</f>
        <v>17837.744268</v>
      </c>
      <c r="T28" s="89">
        <f>5570931133/1000000</f>
        <v>5570.931133</v>
      </c>
      <c r="U28" s="89">
        <f>74651200000/1000000</f>
        <v>74651.2</v>
      </c>
      <c r="V28" s="89">
        <f>R28+S28+T28+U28</f>
        <v>250854.71331386</v>
      </c>
    </row>
    <row r="29" spans="1:22" ht="11.25">
      <c r="A29" s="83"/>
      <c r="B29" s="86"/>
      <c r="C29" s="86"/>
      <c r="D29" s="86"/>
      <c r="E29" s="87"/>
      <c r="F29" s="86"/>
      <c r="G29" s="81"/>
      <c r="H29" s="81"/>
      <c r="I29" s="94"/>
      <c r="J29" s="89"/>
      <c r="K29" s="108"/>
      <c r="L29" s="81"/>
      <c r="M29" s="81"/>
      <c r="N29" s="89"/>
      <c r="O29" s="81"/>
      <c r="P29" s="81"/>
      <c r="Q29" s="81"/>
      <c r="R29" s="89"/>
      <c r="S29" s="81"/>
      <c r="T29" s="81"/>
      <c r="U29" s="81"/>
      <c r="V29" s="89"/>
    </row>
    <row r="30" spans="1:22" ht="11.25">
      <c r="A30" s="95" t="s">
        <v>96</v>
      </c>
      <c r="B30" s="92">
        <f>119858732316.86/1000000</f>
        <v>119858.73231686</v>
      </c>
      <c r="C30" s="96">
        <f>(38790160428.4+35359212308)/1000000</f>
        <v>74149.3727364</v>
      </c>
      <c r="D30" s="96">
        <f>(159378167568.47+28234068716.12-51503144302.6)/1000000</f>
        <v>136109.09198199</v>
      </c>
      <c r="E30" s="96">
        <f>51371789456.5/1000000</f>
        <v>51371.7894565</v>
      </c>
      <c r="F30" s="96">
        <f>B30+C30+D30+E30</f>
        <v>381488.98649175</v>
      </c>
      <c r="G30" s="85">
        <f>(31379920549.26+41900909819.89)/1000000</f>
        <v>73280.83036914999</v>
      </c>
      <c r="H30" s="88">
        <f>(178960375898.44+21284695350.25-43123603161.41)/1000000</f>
        <v>157121.46808728</v>
      </c>
      <c r="I30" s="88">
        <f>6075000000/1000000</f>
        <v>6075</v>
      </c>
      <c r="J30" s="89">
        <f>F30+G30+H30+I30</f>
        <v>617966.28494818</v>
      </c>
      <c r="K30" s="108">
        <f>(37136767199.74+37854915316.32)/1000000</f>
        <v>74991.68251606</v>
      </c>
      <c r="L30" s="89">
        <f>(165490619797.56+33307624827.87-64159414975.84)/1000000</f>
        <v>134638.82964958998</v>
      </c>
      <c r="M30" s="89">
        <f>(525000000.5+1514455000)/1000000</f>
        <v>2039.4550005</v>
      </c>
      <c r="N30" s="89">
        <f>J30+K30+L30+M30</f>
        <v>829636.2521143298</v>
      </c>
      <c r="O30" s="89">
        <f>(32699426750+30888873403.02)/1000000</f>
        <v>63588.300153020005</v>
      </c>
      <c r="P30" s="89">
        <f>(145590810454.73+23351795614.7-40117267188.53)/1000000</f>
        <v>128825.33888090003</v>
      </c>
      <c r="Q30" s="89">
        <f>-3118319035/1000000</f>
        <v>-3118.319035</v>
      </c>
      <c r="R30" s="89">
        <f>N30+O30+P30+Q30</f>
        <v>1018931.5721132498</v>
      </c>
      <c r="S30" s="89">
        <f>(31838805282.15+34792662492.67)/1000000</f>
        <v>66631.46777482</v>
      </c>
      <c r="T30" s="89">
        <f>(74983917217.99+6637356485.1-57499037830.31)/1000000</f>
        <v>24122.235872780013</v>
      </c>
      <c r="U30" s="89">
        <f>(9055188915+286102500)/1000000</f>
        <v>9341.291415</v>
      </c>
      <c r="V30" s="89">
        <f>R30+S30+T30+U30</f>
        <v>1119026.5671758498</v>
      </c>
    </row>
    <row r="31" spans="1:22" ht="22.5" customHeight="1" thickBot="1">
      <c r="A31" s="97" t="s">
        <v>97</v>
      </c>
      <c r="B31" s="98">
        <f aca="true" t="shared" si="0" ref="B31:V31">SUM(B12:B30)</f>
        <v>230312.72158438</v>
      </c>
      <c r="C31" s="99">
        <f t="shared" si="0"/>
        <v>152130.1005474</v>
      </c>
      <c r="D31" s="99">
        <f t="shared" si="0"/>
        <v>192810.37451401</v>
      </c>
      <c r="E31" s="100">
        <f t="shared" si="0"/>
        <v>108045.8978295</v>
      </c>
      <c r="F31" s="99">
        <f t="shared" si="0"/>
        <v>683299.0944752899</v>
      </c>
      <c r="G31" s="99">
        <f t="shared" si="0"/>
        <v>158422.09135914998</v>
      </c>
      <c r="H31" s="99">
        <f t="shared" si="0"/>
        <v>205306.70621606</v>
      </c>
      <c r="I31" s="99">
        <f t="shared" si="0"/>
        <v>85120.66539899999</v>
      </c>
      <c r="J31" s="99">
        <f t="shared" si="0"/>
        <v>1132148.5574494998</v>
      </c>
      <c r="K31" s="99">
        <f t="shared" si="0"/>
        <v>156221.21043705998</v>
      </c>
      <c r="L31" s="99">
        <f t="shared" si="0"/>
        <v>233510.09703136998</v>
      </c>
      <c r="M31" s="99">
        <f t="shared" si="0"/>
        <v>54305.5892805</v>
      </c>
      <c r="N31" s="99">
        <f t="shared" si="0"/>
        <v>1576185.4541984298</v>
      </c>
      <c r="O31" s="99">
        <f t="shared" si="0"/>
        <v>146797.72680302002</v>
      </c>
      <c r="P31" s="99">
        <f t="shared" si="0"/>
        <v>152355.92590639004</v>
      </c>
      <c r="Q31" s="99">
        <f t="shared" si="0"/>
        <v>3681.5384720000006</v>
      </c>
      <c r="R31" s="99">
        <f t="shared" si="0"/>
        <v>1879020.6453798397</v>
      </c>
      <c r="S31" s="99">
        <f t="shared" si="0"/>
        <v>147108.20812082</v>
      </c>
      <c r="T31" s="99">
        <f t="shared" si="0"/>
        <v>34642.129677120014</v>
      </c>
      <c r="U31" s="99">
        <f t="shared" si="0"/>
        <v>106923.36972142999</v>
      </c>
      <c r="V31" s="99">
        <f t="shared" si="0"/>
        <v>2167694.35289921</v>
      </c>
    </row>
    <row r="32" ht="12" thickTop="1"/>
    <row r="34" ht="11.25">
      <c r="A34" s="101" t="s">
        <v>49</v>
      </c>
    </row>
    <row r="36" ht="11.25">
      <c r="A36" s="102" t="s">
        <v>62</v>
      </c>
    </row>
    <row r="37" ht="11.25">
      <c r="A37" s="102" t="s">
        <v>64</v>
      </c>
    </row>
  </sheetData>
  <sheetProtection password="E085" sheet="1" formatCells="0" formatColumns="0" formatRows="0" insertColumns="0" insertRows="0" insertHyperlinks="0" deleteColumns="0" deleteRows="0" sort="0" autoFilter="0" pivotTables="0"/>
  <mergeCells count="10">
    <mergeCell ref="S5:U5"/>
    <mergeCell ref="S6:U6"/>
    <mergeCell ref="O5:Q5"/>
    <mergeCell ref="O6:Q6"/>
    <mergeCell ref="C5:E5"/>
    <mergeCell ref="G5:I5"/>
    <mergeCell ref="C6:E6"/>
    <mergeCell ref="G6:I6"/>
    <mergeCell ref="K5:M5"/>
    <mergeCell ref="K6:M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rwilliams</dc:creator>
  <cp:keywords/>
  <dc:description/>
  <cp:lastModifiedBy>Mohamed</cp:lastModifiedBy>
  <cp:lastPrinted>2017-07-12T16:38:46Z</cp:lastPrinted>
  <dcterms:created xsi:type="dcterms:W3CDTF">2006-06-26T10:32:25Z</dcterms:created>
  <dcterms:modified xsi:type="dcterms:W3CDTF">2017-07-27T09:48:14Z</dcterms:modified>
  <cp:category/>
  <cp:version/>
  <cp:contentType/>
  <cp:contentStatus/>
</cp:coreProperties>
</file>