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65" activeTab="1"/>
  </bookViews>
  <sheets>
    <sheet name="cofog New" sheetId="1" r:id="rId1"/>
    <sheet name="repor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Z_A7C789CC_41DF_4B69_B8E9_1188F5F343F7_.wvu.Cols" localSheetId="0" hidden="1">'cofog New'!$B:$BR</definedName>
    <definedName name="Z_A7C789CC_41DF_4B69_B8E9_1188F5F343F7_.wvu.Cols" localSheetId="1" hidden="1">'report'!$C:$P</definedName>
    <definedName name="Z_A7C789CC_41DF_4B69_B8E9_1188F5F343F7_.wvu.Rows" localSheetId="0" hidden="1">'cofog New'!$29:$31,'cofog New'!$33:$79</definedName>
    <definedName name="Z_A7C789CC_41DF_4B69_B8E9_1188F5F343F7_.wvu.Rows" localSheetId="1" hidden="1">'report'!$62:$64,'report'!$84:$84,'report'!$88:$124</definedName>
  </definedNames>
  <calcPr fullCalcOnLoad="1"/>
</workbook>
</file>

<file path=xl/sharedStrings.xml><?xml version="1.0" encoding="utf-8"?>
<sst xmlns="http://schemas.openxmlformats.org/spreadsheetml/2006/main" count="371" uniqueCount="169">
  <si>
    <t>STATEMENT OF PAYMENTS BY PROGRAMME/ACTIVITIES/FUNCTIONS OF GOVERNMENT</t>
  </si>
  <si>
    <t>PAYMENTS/EXPENDITURE</t>
  </si>
  <si>
    <t>Operating Account</t>
  </si>
  <si>
    <t xml:space="preserve">Print outs </t>
  </si>
  <si>
    <t>Education Services</t>
  </si>
  <si>
    <t>Payroll excluding local govt</t>
  </si>
  <si>
    <t>Table id</t>
  </si>
  <si>
    <t>Health services</t>
  </si>
  <si>
    <t>funds</t>
  </si>
  <si>
    <t>func1</t>
  </si>
  <si>
    <t>Social Security and welfare</t>
  </si>
  <si>
    <t>mdacon</t>
  </si>
  <si>
    <t>obj</t>
  </si>
  <si>
    <t>Payroll for local govt</t>
  </si>
  <si>
    <t>Public Order and safety</t>
  </si>
  <si>
    <t>Recreation, Culture and safety</t>
  </si>
  <si>
    <t>Environmental Protection</t>
  </si>
  <si>
    <t>Payroll including local govt and payroll excluding gov't= personnel espenditure</t>
  </si>
  <si>
    <t>Other charges excluding local Gov't</t>
  </si>
  <si>
    <t>General Public Services</t>
  </si>
  <si>
    <t>Not applicable</t>
  </si>
  <si>
    <t>Total Payments/Expenditure</t>
  </si>
  <si>
    <t>Other charges for local Gov't</t>
  </si>
  <si>
    <t>diff</t>
  </si>
  <si>
    <t>Development Expenditure</t>
  </si>
  <si>
    <t>Other charges excluding local gov't + Other charges for local Gov't - Development= Other charges</t>
  </si>
  <si>
    <t>Development expenditure= as above</t>
  </si>
  <si>
    <t>Le' m</t>
  </si>
  <si>
    <t>Domestic Revenue Collection</t>
  </si>
  <si>
    <t>Income Tax</t>
  </si>
  <si>
    <t>Customs and Excise</t>
  </si>
  <si>
    <t>Mineral Resources</t>
  </si>
  <si>
    <t>Fisheries</t>
  </si>
  <si>
    <t>Other Departments</t>
  </si>
  <si>
    <t>Road User Charges</t>
  </si>
  <si>
    <t>Total Domestic Revenue</t>
  </si>
  <si>
    <t>Grants Receipts (Direct Grant Budgetary Support)</t>
  </si>
  <si>
    <t>HIPC Debt Relief Assistance</t>
  </si>
  <si>
    <t>Total Grant Receipts</t>
  </si>
  <si>
    <t>OPERATING EXPENSES</t>
  </si>
  <si>
    <t>Wages, Salaries and Employee Benefits</t>
  </si>
  <si>
    <t>Non-Salary, Non-Interest Recurrent Expenditure</t>
  </si>
  <si>
    <t>o/w: National Revenue Authority</t>
  </si>
  <si>
    <t>Grants to Tertiary Educational Institutions</t>
  </si>
  <si>
    <t>Transfer to Road Fund</t>
  </si>
  <si>
    <t>Transfer to Local Government</t>
  </si>
  <si>
    <t>Domestic Development Expenditures</t>
  </si>
  <si>
    <t>Total Operating Expenses</t>
  </si>
  <si>
    <t>Finance Costs</t>
  </si>
  <si>
    <t>Domestic Interest</t>
  </si>
  <si>
    <t>Foreign Interest</t>
  </si>
  <si>
    <t>Arrears Payments</t>
  </si>
  <si>
    <t>Domestic Suppliers</t>
  </si>
  <si>
    <t>Wages Arrears</t>
  </si>
  <si>
    <t>Parastatal Arrears</t>
  </si>
  <si>
    <t>Project Arrears</t>
  </si>
  <si>
    <t>Cheques payable</t>
  </si>
  <si>
    <t>Deductions unpaid and unclaimed</t>
  </si>
  <si>
    <t>Return cheques and advances payment</t>
  </si>
  <si>
    <t>Subsidies</t>
  </si>
  <si>
    <t>Lending minus Repayment</t>
  </si>
  <si>
    <t>Financing Items</t>
  </si>
  <si>
    <t xml:space="preserve">    Net movement in treasury bills and treasury bearer bonds</t>
  </si>
  <si>
    <t>Privatisation Receipts</t>
  </si>
  <si>
    <t>Loan Amortization</t>
  </si>
  <si>
    <t>Total Financing</t>
  </si>
  <si>
    <t>jan</t>
  </si>
  <si>
    <t>mar</t>
  </si>
  <si>
    <t>feb</t>
  </si>
  <si>
    <t>Jan</t>
  </si>
  <si>
    <t>planned expenditure</t>
  </si>
  <si>
    <t>non planned expenditure</t>
  </si>
  <si>
    <t>EXPENDITURE</t>
  </si>
  <si>
    <t>Tax revenue</t>
  </si>
  <si>
    <t>non tax revenue</t>
  </si>
  <si>
    <t>Feb</t>
  </si>
  <si>
    <t>Mar</t>
  </si>
  <si>
    <t>Apr</t>
  </si>
  <si>
    <t>May</t>
  </si>
  <si>
    <t>June</t>
  </si>
  <si>
    <t>apr</t>
  </si>
  <si>
    <t>may</t>
  </si>
  <si>
    <t>june</t>
  </si>
  <si>
    <t>Others</t>
  </si>
  <si>
    <t xml:space="preserve">QTR1 &amp; 2 Actual     </t>
  </si>
  <si>
    <t>Defence</t>
  </si>
  <si>
    <t>Housing communities amenities</t>
  </si>
  <si>
    <t xml:space="preserve">QTR1-3 Actual     </t>
  </si>
  <si>
    <t xml:space="preserve">  Personnel Expenditure</t>
  </si>
  <si>
    <t xml:space="preserve">   Other Charges</t>
  </si>
  <si>
    <t xml:space="preserve">  Domestic Development</t>
  </si>
  <si>
    <t>QUARTER 2</t>
  </si>
  <si>
    <t xml:space="preserve"> Personnel Expenditure</t>
  </si>
  <si>
    <t xml:space="preserve"> Other Charges</t>
  </si>
  <si>
    <t>Domestic Development</t>
  </si>
  <si>
    <t>QUARTER 3</t>
  </si>
  <si>
    <t>Personnel Expenditure</t>
  </si>
  <si>
    <t xml:space="preserve">  Other Charges</t>
  </si>
  <si>
    <t>Disinvestments in Public Enterprise</t>
  </si>
  <si>
    <t>Cumulative change in cash balances</t>
  </si>
  <si>
    <t>QTR 2 Actual</t>
  </si>
  <si>
    <t>QUARTER 4</t>
  </si>
  <si>
    <t>QTR 3  Actual</t>
  </si>
  <si>
    <t>QTR1-4 Actual</t>
  </si>
  <si>
    <t>QTR4 Actual</t>
  </si>
  <si>
    <t xml:space="preserve">    Ways &amp; Means</t>
  </si>
  <si>
    <t>MDRI Relief</t>
  </si>
  <si>
    <t>PUBLIC NOTICE</t>
  </si>
  <si>
    <t>Budget for the year</t>
  </si>
  <si>
    <t>BY ORDER</t>
  </si>
  <si>
    <t>Deputy Accountant General</t>
  </si>
  <si>
    <t>Road User Charges &amp; Vehicle Licences</t>
  </si>
  <si>
    <t>STATEMENT OF FISCAL OPERATIONS (CONSOLIDATED FUND)</t>
  </si>
  <si>
    <t>Other Grants Received- External Donors</t>
  </si>
  <si>
    <t>MDRI Relief Transfers</t>
  </si>
  <si>
    <t>Transfers to Local Councils</t>
  </si>
  <si>
    <t>Total Non-Operating Activities</t>
  </si>
  <si>
    <t>Net Cashflows from Operating Activities</t>
  </si>
  <si>
    <t>Net Cashflows from  Activities</t>
  </si>
  <si>
    <t>Increase/ (Decrease) in Bank Balances during the period</t>
  </si>
  <si>
    <t>Total Receipts</t>
  </si>
  <si>
    <t>Oct</t>
  </si>
  <si>
    <t>Nov</t>
  </si>
  <si>
    <t>Dec</t>
  </si>
  <si>
    <t>Strategic Stock Fund</t>
  </si>
  <si>
    <t xml:space="preserve"> </t>
  </si>
  <si>
    <t>KEBBE A. KOUROMA</t>
  </si>
  <si>
    <t>RICHARD S. WILLIAMS</t>
  </si>
  <si>
    <t>Strategic Petroleum Revenue</t>
  </si>
  <si>
    <t>Accountant General</t>
  </si>
  <si>
    <t>Grants to Educational Institutions</t>
  </si>
  <si>
    <t>Goods and Services Tax</t>
  </si>
  <si>
    <t>Non-MDRI Relief</t>
  </si>
  <si>
    <t>Programme Loans</t>
  </si>
  <si>
    <t xml:space="preserve"> Other Projects (Peace Building)</t>
  </si>
  <si>
    <t>Economic Affairs</t>
  </si>
  <si>
    <t xml:space="preserve"> Global Fund Salary Support</t>
  </si>
  <si>
    <t>Contingency Expenditure</t>
  </si>
  <si>
    <t>Jan 16 - Dec 16</t>
  </si>
  <si>
    <t>Jan 16- Mar 16</t>
  </si>
  <si>
    <t>Actuals for Mar</t>
  </si>
  <si>
    <t>Jan 16- Mar16</t>
  </si>
  <si>
    <t>APRIL</t>
  </si>
  <si>
    <t>ACTUALS</t>
  </si>
  <si>
    <t>JAN 16-APRIL 16</t>
  </si>
  <si>
    <t>Jan-April 16</t>
  </si>
  <si>
    <t>Jan 16-June16</t>
  </si>
  <si>
    <t>JAN 16-JUNE16</t>
  </si>
  <si>
    <t>JUL.16</t>
  </si>
  <si>
    <t>JAN.16-JUL.16</t>
  </si>
  <si>
    <t>JAN 16-JUN16</t>
  </si>
  <si>
    <t>JAN-JUN 16</t>
  </si>
  <si>
    <t>AUG.16</t>
  </si>
  <si>
    <t>JAN-JULY16</t>
  </si>
  <si>
    <t>JAN-AUG 16</t>
  </si>
  <si>
    <t>Sept.16</t>
  </si>
  <si>
    <t>Oct.16</t>
  </si>
  <si>
    <t>JAN-SEPT 16</t>
  </si>
  <si>
    <t>ACTUALS FOR QUARTER 1-3</t>
  </si>
  <si>
    <t>Aug.16</t>
  </si>
  <si>
    <t>Jul.16</t>
  </si>
  <si>
    <t>Jan 16-Sept16</t>
  </si>
  <si>
    <t>In accordance with Section 66(1) of the Public Financial Management Act, 2016 a Statement of Receipts into and the Payments out of Consolidated Fund for the month of October 2016  as compared with Budgetary Estimates for the year is hereby published.</t>
  </si>
  <si>
    <t>for the month  ended 31 October 2016</t>
  </si>
  <si>
    <t>Jan 16-Oct 16</t>
  </si>
  <si>
    <t>2016 Actuals</t>
  </si>
  <si>
    <t>(Functional Classification of Expenditures by Heads and Items) for the month ended 31 October  2016</t>
  </si>
  <si>
    <t>OCTOBER</t>
  </si>
  <si>
    <t>JAN-OCT 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</si>
</sst>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00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_-* #,##0.0000_-;\-* #,##0.0000_-;_-* &quot;-&quot;??_-;_-@_-"/>
    <numFmt numFmtId="185" formatCode="#,##0.0"/>
    <numFmt numFmtId="186" formatCode="#,##0.000"/>
    <numFmt numFmtId="187" formatCode="[$-409]dddd\,\ mmmm\ dd\,\ yyyy"/>
    <numFmt numFmtId="188" formatCode="[$-409]mmm\-yy;@"/>
    <numFmt numFmtId="189" formatCode="[$-F800]dddd\,\ mmmm\ dd\,\ yyyy"/>
    <numFmt numFmtId="190" formatCode="_(* #,##0.0_);_(* \(#,##0.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sz val="10"/>
      <name val="Arial Unicode MS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173" fontId="3" fillId="0" borderId="10" xfId="42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172" fontId="3" fillId="0" borderId="0" xfId="42" applyNumberFormat="1" applyFont="1" applyAlignment="1">
      <alignment/>
    </xf>
    <xf numFmtId="172" fontId="2" fillId="0" borderId="15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2" fontId="2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173" fontId="7" fillId="0" borderId="17" xfId="42" applyNumberFormat="1" applyFont="1" applyBorder="1" applyAlignment="1">
      <alignment/>
    </xf>
    <xf numFmtId="173" fontId="7" fillId="0" borderId="18" xfId="42" applyNumberFormat="1" applyFont="1" applyBorder="1" applyAlignment="1">
      <alignment/>
    </xf>
    <xf numFmtId="173" fontId="7" fillId="0" borderId="19" xfId="42" applyNumberFormat="1" applyFont="1" applyBorder="1" applyAlignment="1">
      <alignment/>
    </xf>
    <xf numFmtId="173" fontId="7" fillId="0" borderId="0" xfId="42" applyNumberFormat="1" applyFont="1" applyBorder="1" applyAlignment="1">
      <alignment/>
    </xf>
    <xf numFmtId="173" fontId="7" fillId="0" borderId="13" xfId="42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4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3" fillId="0" borderId="0" xfId="0" applyNumberFormat="1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3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3"/>
    </xf>
    <xf numFmtId="0" fontId="1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left" indent="3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17" fontId="10" fillId="0" borderId="21" xfId="0" applyNumberFormat="1" applyFont="1" applyBorder="1" applyAlignment="1">
      <alignment horizontal="center" vertical="center" wrapText="1"/>
    </xf>
    <xf numFmtId="17" fontId="10" fillId="0" borderId="2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indent="1"/>
    </xf>
    <xf numFmtId="173" fontId="11" fillId="0" borderId="10" xfId="42" applyNumberFormat="1" applyFont="1" applyBorder="1" applyAlignment="1">
      <alignment/>
    </xf>
    <xf numFmtId="173" fontId="11" fillId="0" borderId="20" xfId="42" applyNumberFormat="1" applyFont="1" applyBorder="1" applyAlignment="1">
      <alignment/>
    </xf>
    <xf numFmtId="173" fontId="11" fillId="0" borderId="0" xfId="42" applyNumberFormat="1" applyFont="1" applyBorder="1" applyAlignment="1">
      <alignment/>
    </xf>
    <xf numFmtId="173" fontId="11" fillId="0" borderId="13" xfId="42" applyNumberFormat="1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11" fillId="0" borderId="17" xfId="0" applyFont="1" applyBorder="1" applyAlignment="1">
      <alignment/>
    </xf>
    <xf numFmtId="173" fontId="10" fillId="0" borderId="18" xfId="42" applyNumberFormat="1" applyFont="1" applyBorder="1" applyAlignment="1">
      <alignment/>
    </xf>
    <xf numFmtId="173" fontId="10" fillId="0" borderId="24" xfId="42" applyNumberFormat="1" applyFont="1" applyBorder="1" applyAlignment="1">
      <alignment/>
    </xf>
    <xf numFmtId="173" fontId="10" fillId="0" borderId="0" xfId="42" applyNumberFormat="1" applyFont="1" applyBorder="1" applyAlignment="1">
      <alignment/>
    </xf>
    <xf numFmtId="173" fontId="10" fillId="0" borderId="20" xfId="42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indent="1"/>
    </xf>
    <xf numFmtId="173" fontId="10" fillId="0" borderId="13" xfId="42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10" xfId="42" applyNumberFormat="1" applyFont="1" applyBorder="1" applyAlignment="1">
      <alignment/>
    </xf>
    <xf numFmtId="173" fontId="11" fillId="0" borderId="10" xfId="42" applyNumberFormat="1" applyFont="1" applyBorder="1" applyAlignment="1">
      <alignment/>
    </xf>
    <xf numFmtId="173" fontId="11" fillId="0" borderId="0" xfId="42" applyNumberFormat="1" applyFont="1" applyBorder="1" applyAlignment="1">
      <alignment/>
    </xf>
    <xf numFmtId="0" fontId="11" fillId="0" borderId="10" xfId="0" applyFont="1" applyBorder="1" applyAlignment="1">
      <alignment horizontal="left" indent="3"/>
    </xf>
    <xf numFmtId="173" fontId="11" fillId="0" borderId="20" xfId="42" applyNumberFormat="1" applyFont="1" applyBorder="1" applyAlignment="1">
      <alignment/>
    </xf>
    <xf numFmtId="173" fontId="10" fillId="0" borderId="17" xfId="42" applyNumberFormat="1" applyFont="1" applyBorder="1" applyAlignment="1">
      <alignment/>
    </xf>
    <xf numFmtId="173" fontId="10" fillId="0" borderId="19" xfId="4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11" xfId="42" applyNumberFormat="1" applyFont="1" applyBorder="1" applyAlignment="1">
      <alignment/>
    </xf>
    <xf numFmtId="173" fontId="10" fillId="0" borderId="25" xfId="42" applyNumberFormat="1" applyFont="1" applyBorder="1" applyAlignment="1">
      <alignment/>
    </xf>
    <xf numFmtId="0" fontId="11" fillId="0" borderId="10" xfId="0" applyFont="1" applyBorder="1" applyAlignment="1">
      <alignment horizontal="left" indent="2"/>
    </xf>
    <xf numFmtId="0" fontId="11" fillId="0" borderId="10" xfId="0" applyFont="1" applyBorder="1" applyAlignment="1">
      <alignment horizontal="left"/>
    </xf>
    <xf numFmtId="173" fontId="10" fillId="0" borderId="14" xfId="42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173" fontId="11" fillId="0" borderId="21" xfId="42" applyNumberFormat="1" applyFont="1" applyBorder="1" applyAlignment="1">
      <alignment/>
    </xf>
    <xf numFmtId="173" fontId="11" fillId="0" borderId="22" xfId="42" applyNumberFormat="1" applyFont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3" fillId="0" borderId="10" xfId="0" applyFont="1" applyBorder="1" applyAlignment="1">
      <alignment/>
    </xf>
    <xf numFmtId="172" fontId="11" fillId="0" borderId="0" xfId="42" applyNumberFormat="1" applyFont="1" applyBorder="1" applyAlignment="1">
      <alignment/>
    </xf>
    <xf numFmtId="172" fontId="11" fillId="0" borderId="0" xfId="42" applyNumberFormat="1" applyFont="1" applyAlignment="1">
      <alignment/>
    </xf>
    <xf numFmtId="0" fontId="11" fillId="0" borderId="12" xfId="0" applyFont="1" applyBorder="1" applyAlignment="1">
      <alignment/>
    </xf>
    <xf numFmtId="172" fontId="10" fillId="0" borderId="16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172" fontId="10" fillId="0" borderId="27" xfId="42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72" fontId="10" fillId="0" borderId="0" xfId="42" applyNumberFormat="1" applyFont="1" applyBorder="1" applyAlignment="1">
      <alignment/>
    </xf>
    <xf numFmtId="173" fontId="3" fillId="0" borderId="12" xfId="42" applyNumberFormat="1" applyFont="1" applyBorder="1" applyAlignment="1">
      <alignment/>
    </xf>
    <xf numFmtId="172" fontId="16" fillId="0" borderId="0" xfId="42" applyNumberFormat="1" applyFont="1" applyAlignment="1">
      <alignment horizontal="left" indent="1"/>
    </xf>
    <xf numFmtId="172" fontId="10" fillId="0" borderId="21" xfId="42" applyNumberFormat="1" applyFont="1" applyBorder="1" applyAlignment="1">
      <alignment horizontal="center" wrapText="1"/>
    </xf>
    <xf numFmtId="172" fontId="10" fillId="0" borderId="22" xfId="42" applyNumberFormat="1" applyFont="1" applyBorder="1" applyAlignment="1">
      <alignment horizontal="center" wrapText="1"/>
    </xf>
    <xf numFmtId="172" fontId="10" fillId="0" borderId="18" xfId="42" applyNumberFormat="1" applyFont="1" applyBorder="1" applyAlignment="1">
      <alignment horizontal="center"/>
    </xf>
    <xf numFmtId="172" fontId="13" fillId="0" borderId="0" xfId="42" applyNumberFormat="1" applyFont="1" applyBorder="1" applyAlignment="1">
      <alignment/>
    </xf>
    <xf numFmtId="172" fontId="11" fillId="0" borderId="10" xfId="42" applyNumberFormat="1" applyFont="1" applyBorder="1" applyAlignment="1">
      <alignment/>
    </xf>
    <xf numFmtId="172" fontId="14" fillId="0" borderId="0" xfId="42" applyNumberFormat="1" applyFont="1" applyAlignment="1">
      <alignment/>
    </xf>
    <xf numFmtId="173" fontId="11" fillId="0" borderId="12" xfId="42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left" indent="1"/>
    </xf>
    <xf numFmtId="173" fontId="11" fillId="0" borderId="12" xfId="42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0" fontId="14" fillId="0" borderId="0" xfId="0" applyFont="1" applyAlignment="1">
      <alignment/>
    </xf>
    <xf numFmtId="0" fontId="10" fillId="0" borderId="19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Fill="1" applyBorder="1" applyAlignment="1">
      <alignment horizontal="left" indent="1"/>
    </xf>
    <xf numFmtId="0" fontId="10" fillId="0" borderId="18" xfId="0" applyFont="1" applyBorder="1" applyAlignment="1">
      <alignment/>
    </xf>
    <xf numFmtId="173" fontId="11" fillId="0" borderId="10" xfId="42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173" fontId="10" fillId="0" borderId="22" xfId="42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172" fontId="11" fillId="0" borderId="0" xfId="42" applyNumberFormat="1" applyFont="1" applyAlignment="1">
      <alignment/>
    </xf>
    <xf numFmtId="172" fontId="11" fillId="0" borderId="0" xfId="42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0" fillId="0" borderId="13" xfId="0" applyFont="1" applyBorder="1" applyAlignment="1">
      <alignment/>
    </xf>
    <xf numFmtId="173" fontId="11" fillId="0" borderId="0" xfId="42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71" fontId="11" fillId="0" borderId="0" xfId="0" applyNumberFormat="1" applyFont="1" applyAlignment="1">
      <alignment/>
    </xf>
    <xf numFmtId="173" fontId="10" fillId="0" borderId="12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1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Fill="1" applyBorder="1" applyAlignment="1">
      <alignment horizontal="center"/>
    </xf>
    <xf numFmtId="3" fontId="17" fillId="0" borderId="0" xfId="0" applyNumberFormat="1" applyFont="1" applyAlignment="1">
      <alignment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0" xfId="0" applyFont="1" applyAlignment="1">
      <alignment/>
    </xf>
    <xf numFmtId="37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37" fontId="11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11" fillId="0" borderId="1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172" fontId="10" fillId="0" borderId="27" xfId="42" applyNumberFormat="1" applyFont="1" applyBorder="1" applyAlignment="1">
      <alignment/>
    </xf>
    <xf numFmtId="172" fontId="11" fillId="0" borderId="10" xfId="42" applyNumberFormat="1" applyFont="1" applyBorder="1" applyAlignment="1">
      <alignment/>
    </xf>
    <xf numFmtId="172" fontId="11" fillId="0" borderId="12" xfId="42" applyNumberFormat="1" applyFont="1" applyBorder="1" applyAlignment="1">
      <alignment/>
    </xf>
    <xf numFmtId="188" fontId="1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18" fillId="0" borderId="10" xfId="0" applyFont="1" applyBorder="1" applyAlignment="1">
      <alignment/>
    </xf>
    <xf numFmtId="188" fontId="10" fillId="0" borderId="12" xfId="0" applyNumberFormat="1" applyFont="1" applyBorder="1" applyAlignment="1">
      <alignment horizontal="center"/>
    </xf>
    <xf numFmtId="37" fontId="10" fillId="0" borderId="10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17" xfId="42" applyNumberFormat="1" applyFont="1" applyBorder="1" applyAlignment="1">
      <alignment/>
    </xf>
    <xf numFmtId="0" fontId="10" fillId="0" borderId="12" xfId="0" applyFont="1" applyBorder="1" applyAlignment="1">
      <alignment horizontal="center" wrapText="1"/>
    </xf>
    <xf numFmtId="172" fontId="10" fillId="0" borderId="21" xfId="42" applyNumberFormat="1" applyFont="1" applyBorder="1" applyAlignment="1">
      <alignment horizontal="center" wrapText="1"/>
    </xf>
    <xf numFmtId="172" fontId="10" fillId="0" borderId="22" xfId="42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37" fontId="11" fillId="0" borderId="13" xfId="0" applyNumberFormat="1" applyFont="1" applyBorder="1" applyAlignment="1">
      <alignment/>
    </xf>
    <xf numFmtId="172" fontId="11" fillId="0" borderId="13" xfId="42" applyNumberFormat="1" applyFont="1" applyBorder="1" applyAlignment="1">
      <alignment/>
    </xf>
    <xf numFmtId="37" fontId="11" fillId="0" borderId="20" xfId="0" applyNumberFormat="1" applyFont="1" applyBorder="1" applyAlignment="1">
      <alignment/>
    </xf>
    <xf numFmtId="37" fontId="11" fillId="0" borderId="24" xfId="0" applyNumberFormat="1" applyFont="1" applyBorder="1" applyAlignment="1">
      <alignment/>
    </xf>
    <xf numFmtId="173" fontId="10" fillId="0" borderId="28" xfId="0" applyNumberFormat="1" applyFont="1" applyBorder="1" applyAlignment="1">
      <alignment/>
    </xf>
    <xf numFmtId="0" fontId="0" fillId="0" borderId="24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4" xfId="0" applyBorder="1" applyAlignment="1">
      <alignment/>
    </xf>
    <xf numFmtId="173" fontId="11" fillId="0" borderId="2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0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Border="1" applyAlignment="1">
      <alignment/>
    </xf>
    <xf numFmtId="172" fontId="10" fillId="0" borderId="17" xfId="42" applyNumberFormat="1" applyFont="1" applyBorder="1" applyAlignment="1">
      <alignment horizontal="center" wrapText="1"/>
    </xf>
    <xf numFmtId="172" fontId="10" fillId="0" borderId="17" xfId="42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172" fontId="10" fillId="0" borderId="17" xfId="0" applyNumberFormat="1" applyFont="1" applyBorder="1" applyAlignment="1">
      <alignment/>
    </xf>
    <xf numFmtId="0" fontId="0" fillId="0" borderId="25" xfId="0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72" fontId="11" fillId="0" borderId="20" xfId="42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37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37" fontId="11" fillId="0" borderId="0" xfId="0" applyNumberFormat="1" applyFont="1" applyBorder="1" applyAlignment="1">
      <alignment/>
    </xf>
    <xf numFmtId="37" fontId="11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/>
    </xf>
    <xf numFmtId="37" fontId="10" fillId="0" borderId="19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37" fontId="10" fillId="0" borderId="0" xfId="0" applyNumberFormat="1" applyFont="1" applyAlignment="1">
      <alignment/>
    </xf>
    <xf numFmtId="172" fontId="10" fillId="0" borderId="0" xfId="42" applyNumberFormat="1" applyFont="1" applyAlignment="1">
      <alignment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performance%20repor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DATA\FMA\Publication%20reports%202014\off%20which%20others%20reports%20q1q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ocuments\performance%20reports%20q1q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DATA\FMA\Publication%20reports%202016\linking%20reports%202016\fiscal%20reports%20January%202016%20fi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fiscal%20reports%20for%202016\performance%20reports%20q1q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fiscal%20reports%20for%202016\performance%20reports%20q1q2%20for%20ap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fiscal%20reports%20for%202016\performance%20reports%20q1q2%20jun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fiscal%20reports%20for%202016\performance%20reports%20q1q2%20june%20revi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fiscal%20reports%20for%202016\performance%20reports%20q3q4%20jul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fiscal%20reports%20for%202016\performance%20reports%20q1q2%20jul.revi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fiscal%20reports%20for%202016\performance%20reports%20q3q4%20for%20au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off%20which%20others%20report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performance%20reports%20q3q4%20for%20au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performance%20reports%20q1q2%20o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performance%20reports%20oct%20q3q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Workings%20of%20fiscal%20report\performance%20reports%20q3q4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fiscal%20reports%20for%202016\fiscal%20reports%20%20Sept%202016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%20reports%20q3q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1%20reports%20q3q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arrears%20reports%20q3q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auley\Desktop\Publication%20reports%202012\performance%20repor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auley\Desktop\Publication%20reports%202013\performance%20reports%20q1q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DATA\FMA\Publication%20reports%202014\performance%20reports%20q1q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DATA\FMA\Publication%20reports%202016\performance%20reports%20q1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22798.711182550007</v>
          </cell>
        </row>
        <row r="4">
          <cell r="D4">
            <v>30030.59213064001</v>
          </cell>
        </row>
        <row r="5">
          <cell r="D5">
            <v>16986.97667844</v>
          </cell>
        </row>
        <row r="6">
          <cell r="D6">
            <v>1935.5132241599997</v>
          </cell>
        </row>
        <row r="7">
          <cell r="D7">
            <v>291.47641450000003</v>
          </cell>
        </row>
        <row r="8">
          <cell r="D8">
            <v>11418.281986670005</v>
          </cell>
        </row>
        <row r="9">
          <cell r="D9">
            <v>4756.951</v>
          </cell>
        </row>
        <row r="11">
          <cell r="D11">
            <v>1369.1018791099998</v>
          </cell>
        </row>
        <row r="12">
          <cell r="D12">
            <v>0</v>
          </cell>
        </row>
        <row r="13">
          <cell r="C13">
            <v>0</v>
          </cell>
          <cell r="D13">
            <v>64400</v>
          </cell>
        </row>
        <row r="14">
          <cell r="D14">
            <v>570</v>
          </cell>
        </row>
        <row r="16">
          <cell r="D16">
            <v>-33464.22031809001</v>
          </cell>
        </row>
        <row r="17">
          <cell r="D17">
            <v>-48858.94019337002</v>
          </cell>
        </row>
        <row r="18">
          <cell r="D18">
            <v>-6459.118826000002</v>
          </cell>
        </row>
        <row r="19">
          <cell r="D19">
            <v>-5362.793000000001</v>
          </cell>
        </row>
        <row r="20">
          <cell r="D20">
            <v>-44059.66848955</v>
          </cell>
        </row>
        <row r="22">
          <cell r="D22">
            <v>4813.448718</v>
          </cell>
        </row>
        <row r="23">
          <cell r="D23">
            <v>11223.926211000002</v>
          </cell>
        </row>
        <row r="25">
          <cell r="D25">
            <v>-4760.600532570001</v>
          </cell>
        </row>
        <row r="26">
          <cell r="D26">
            <v>-3098.3524679399998</v>
          </cell>
        </row>
        <row r="27">
          <cell r="D27">
            <v>-609.195333</v>
          </cell>
        </row>
        <row r="28">
          <cell r="D28">
            <v>-2270.2343367500002</v>
          </cell>
        </row>
        <row r="31">
          <cell r="D31">
            <v>-1134.72357842</v>
          </cell>
        </row>
        <row r="32">
          <cell r="D32">
            <v>-2920.0012950000005</v>
          </cell>
        </row>
        <row r="33">
          <cell r="C33">
            <v>0</v>
          </cell>
          <cell r="D33">
            <v>-5229.2</v>
          </cell>
        </row>
        <row r="34">
          <cell r="D34">
            <v>-570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67100.43222767001</v>
          </cell>
        </row>
        <row r="4">
          <cell r="C4">
            <v>39205.56804616</v>
          </cell>
        </row>
        <row r="5">
          <cell r="C5">
            <v>53825.107856440016</v>
          </cell>
        </row>
        <row r="7">
          <cell r="C7">
            <v>4533.28743411</v>
          </cell>
        </row>
        <row r="10">
          <cell r="B10">
            <v>474.70025468</v>
          </cell>
        </row>
        <row r="18">
          <cell r="C18">
            <v>30599.427689600016</v>
          </cell>
        </row>
        <row r="20">
          <cell r="C20">
            <v>-8382.875477439997</v>
          </cell>
        </row>
        <row r="21">
          <cell r="C21">
            <v>-4086.87538646</v>
          </cell>
        </row>
        <row r="22">
          <cell r="C22">
            <v>-186.58647900000003</v>
          </cell>
        </row>
        <row r="23">
          <cell r="C23">
            <v>-14710.658758899997</v>
          </cell>
        </row>
        <row r="27">
          <cell r="C27">
            <v>67673.55540104</v>
          </cell>
        </row>
        <row r="28">
          <cell r="C28">
            <v>-3401.7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fog New"/>
      <sheetName val="report"/>
      <sheetName val="cofog"/>
      <sheetName val="Sheet1"/>
      <sheetName val="cofog summ"/>
      <sheetName val="mgmt ext"/>
      <sheetName val="charts"/>
      <sheetName val="Sheet2"/>
    </sheetNames>
    <sheetDataSet>
      <sheetData sheetId="1">
        <row r="19">
          <cell r="C19">
            <v>6810.082305469999</v>
          </cell>
        </row>
        <row r="80">
          <cell r="C80">
            <v>-952.4184384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76679.13673535999</v>
          </cell>
        </row>
        <row r="4">
          <cell r="D4">
            <v>44028.899183600006</v>
          </cell>
        </row>
        <row r="5">
          <cell r="D5">
            <v>53184.24740503001</v>
          </cell>
        </row>
        <row r="7">
          <cell r="D7">
            <v>9244.483947319999</v>
          </cell>
        </row>
        <row r="12">
          <cell r="D12">
            <v>-152521.25455469</v>
          </cell>
        </row>
        <row r="15">
          <cell r="D15">
            <v>-8957.303254</v>
          </cell>
        </row>
        <row r="22">
          <cell r="D22">
            <v>-37.47</v>
          </cell>
        </row>
        <row r="23">
          <cell r="D23">
            <v>-23714.98865909</v>
          </cell>
        </row>
        <row r="25">
          <cell r="D25">
            <v>-49059.57222715</v>
          </cell>
        </row>
        <row r="27">
          <cell r="D27">
            <v>24714.343610019994</v>
          </cell>
        </row>
        <row r="28">
          <cell r="D28">
            <v>-3243.45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F4">
            <v>38329.910985810006</v>
          </cell>
        </row>
        <row r="5">
          <cell r="F5">
            <v>55279.414782809996</v>
          </cell>
        </row>
        <row r="6">
          <cell r="B6">
            <v>5050.7276584</v>
          </cell>
          <cell r="C6">
            <v>2804.7246252299997</v>
          </cell>
          <cell r="D6">
            <v>1091.36672634</v>
          </cell>
          <cell r="F6">
            <v>27418.55346159</v>
          </cell>
        </row>
        <row r="8">
          <cell r="C8">
            <v>20961.431786060006</v>
          </cell>
          <cell r="D8">
            <v>9962.8036629</v>
          </cell>
          <cell r="F8">
            <v>7572.243841930001</v>
          </cell>
        </row>
        <row r="9">
          <cell r="B9">
            <v>10476.09468174</v>
          </cell>
          <cell r="C9">
            <v>12492.692338030003</v>
          </cell>
          <cell r="D9">
            <v>27087.644022020002</v>
          </cell>
        </row>
        <row r="11">
          <cell r="B11">
            <v>1085.75701978</v>
          </cell>
          <cell r="D11">
            <v>1763.34097443</v>
          </cell>
          <cell r="F11">
            <v>2089.0432234</v>
          </cell>
        </row>
        <row r="17">
          <cell r="C17">
            <v>-98135.46886602002</v>
          </cell>
          <cell r="F17">
            <v>-6031.581263980001</v>
          </cell>
        </row>
        <row r="22">
          <cell r="F22">
            <v>-14322.16497083</v>
          </cell>
        </row>
        <row r="23">
          <cell r="B23">
            <v>-3237.1157153100003</v>
          </cell>
        </row>
        <row r="27">
          <cell r="B27">
            <v>27504.34754309999</v>
          </cell>
          <cell r="F27">
            <v>224.26142053000163</v>
          </cell>
        </row>
        <row r="28">
          <cell r="C28">
            <v>-856.70562755</v>
          </cell>
        </row>
        <row r="29">
          <cell r="B29">
            <v>-3461.34671231</v>
          </cell>
          <cell r="F29">
            <v>33954.40109189</v>
          </cell>
        </row>
        <row r="30">
          <cell r="B30">
            <v>6442.25</v>
          </cell>
          <cell r="F30">
            <v>-5753.45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85656.91271196002</v>
          </cell>
        </row>
        <row r="4">
          <cell r="G4">
            <v>40662.42475434</v>
          </cell>
          <cell r="H4">
            <v>37101.78194493</v>
          </cell>
        </row>
        <row r="5">
          <cell r="G5">
            <v>72679.34661534001</v>
          </cell>
          <cell r="H5">
            <v>54903.61154511</v>
          </cell>
        </row>
        <row r="6">
          <cell r="G6">
            <v>19294.77875646</v>
          </cell>
          <cell r="H6">
            <v>22957.407195879998</v>
          </cell>
        </row>
        <row r="7">
          <cell r="F7">
            <v>1656.41178911</v>
          </cell>
          <cell r="G7">
            <v>5022.136984</v>
          </cell>
          <cell r="H7">
            <v>6333.51332541</v>
          </cell>
        </row>
        <row r="9">
          <cell r="F9">
            <v>12192.40343108</v>
          </cell>
          <cell r="G9">
            <v>12991.66389509</v>
          </cell>
        </row>
        <row r="11">
          <cell r="H11">
            <v>254.07893453</v>
          </cell>
        </row>
        <row r="14">
          <cell r="F14">
            <v>-146067.52118325</v>
          </cell>
        </row>
        <row r="17">
          <cell r="B17">
            <v>-48762.33706113</v>
          </cell>
          <cell r="G17">
            <v>-69293.06454223998</v>
          </cell>
        </row>
        <row r="20">
          <cell r="B20">
            <v>60609.091256399995</v>
          </cell>
          <cell r="D20">
            <v>-45690.24748500001</v>
          </cell>
          <cell r="F20">
            <v>49836.382820670005</v>
          </cell>
          <cell r="G20">
            <v>90890.98796268001</v>
          </cell>
        </row>
        <row r="22">
          <cell r="D22">
            <v>-6666.646678059999</v>
          </cell>
        </row>
        <row r="23">
          <cell r="D23">
            <v>-5457.3003888</v>
          </cell>
          <cell r="F23">
            <v>-3638.54305778</v>
          </cell>
        </row>
        <row r="25">
          <cell r="B25">
            <v>-80401.88554833</v>
          </cell>
          <cell r="F25">
            <v>-1079.2787526099999</v>
          </cell>
          <cell r="G25">
            <v>-3014.45830285</v>
          </cell>
        </row>
        <row r="27">
          <cell r="C27">
            <v>-1914.5924231100269</v>
          </cell>
          <cell r="G27">
            <v>41164.78373431</v>
          </cell>
          <cell r="H27">
            <v>-6869.932355679993</v>
          </cell>
        </row>
        <row r="28">
          <cell r="F28">
            <v>-16851.55024593</v>
          </cell>
          <cell r="G28">
            <v>-5833.554329340001</v>
          </cell>
        </row>
        <row r="29">
          <cell r="H29">
            <v>33629.03947922</v>
          </cell>
        </row>
        <row r="30">
          <cell r="H30">
            <v>-2031.15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7256.39748925</v>
          </cell>
        </row>
        <row r="9">
          <cell r="H9">
            <v>5325.00476982</v>
          </cell>
        </row>
        <row r="19">
          <cell r="B19">
            <v>-171298.55130663</v>
          </cell>
        </row>
        <row r="20">
          <cell r="H20">
            <v>-69413.48529315</v>
          </cell>
        </row>
        <row r="25">
          <cell r="H25">
            <v>-28338.307289999997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263507.7094751301</v>
          </cell>
        </row>
        <row r="4">
          <cell r="C4">
            <v>32952.100209159995</v>
          </cell>
        </row>
        <row r="5">
          <cell r="C5">
            <v>48769.88763679001</v>
          </cell>
        </row>
        <row r="6">
          <cell r="C6">
            <v>13371.891428939998</v>
          </cell>
        </row>
        <row r="7">
          <cell r="C7">
            <v>4133.67201495</v>
          </cell>
        </row>
        <row r="8">
          <cell r="C8">
            <v>3342.431079609998</v>
          </cell>
        </row>
        <row r="9">
          <cell r="C9">
            <v>8962.41217955</v>
          </cell>
        </row>
        <row r="11">
          <cell r="C11">
            <v>1164.543318</v>
          </cell>
        </row>
        <row r="12">
          <cell r="C12">
            <v>131844.33555</v>
          </cell>
        </row>
        <row r="22">
          <cell r="C22">
            <v>-8260.373001619999</v>
          </cell>
        </row>
        <row r="25">
          <cell r="C25">
            <v>-575.188</v>
          </cell>
        </row>
        <row r="27">
          <cell r="C27">
            <v>41638.132999569985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B14">
            <v>-153267.86896316003</v>
          </cell>
          <cell r="C14">
            <v>-154481.89505288002</v>
          </cell>
        </row>
        <row r="22">
          <cell r="H22">
            <v>-23644.53308654</v>
          </cell>
        </row>
        <row r="23">
          <cell r="H23">
            <v>-12973.337773790001</v>
          </cell>
        </row>
        <row r="28">
          <cell r="D28">
            <v>-10957.212633219999</v>
          </cell>
          <cell r="H28">
            <v>-39523.04573803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C14">
            <v>-142246.43241808997</v>
          </cell>
        </row>
        <row r="23">
          <cell r="C23">
            <v>-1499.44030894</v>
          </cell>
        </row>
        <row r="28">
          <cell r="C28">
            <v>-1486.96410393</v>
          </cell>
        </row>
        <row r="29">
          <cell r="C29">
            <v>14622.83944151</v>
          </cell>
        </row>
        <row r="30">
          <cell r="C30">
            <v>-1208.25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1262600000</v>
          </cell>
        </row>
        <row r="4">
          <cell r="D4">
            <v>6418653178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>
            <v>25543.445459650004</v>
          </cell>
        </row>
        <row r="6">
          <cell r="D6">
            <v>19354.69345748</v>
          </cell>
        </row>
        <row r="7">
          <cell r="D7">
            <v>1720.2393795400003</v>
          </cell>
        </row>
        <row r="11">
          <cell r="D11">
            <v>49.32135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>
            <v>90436.49142842999</v>
          </cell>
          <cell r="H3">
            <v>100713.08749449998</v>
          </cell>
        </row>
        <row r="8">
          <cell r="G8">
            <v>3436.5704878300007</v>
          </cell>
        </row>
        <row r="14">
          <cell r="G14">
            <v>-143664.61863299</v>
          </cell>
          <cell r="H14">
            <v>-151082.45064934</v>
          </cell>
        </row>
        <row r="15">
          <cell r="B15">
            <v>-39404.37777962001</v>
          </cell>
          <cell r="C15">
            <v>-145768.98115450997</v>
          </cell>
          <cell r="D15">
            <v>-109680.83164138</v>
          </cell>
          <cell r="F15">
            <v>-109560.87173903</v>
          </cell>
          <cell r="G15">
            <v>-65578.11403812001</v>
          </cell>
          <cell r="H15">
            <v>-32655.62430998001</v>
          </cell>
        </row>
        <row r="16">
          <cell r="B16">
            <v>-1624.2</v>
          </cell>
          <cell r="D16">
            <v>-14859.4249</v>
          </cell>
          <cell r="F16">
            <v>-154</v>
          </cell>
          <cell r="G16">
            <v>-199.6</v>
          </cell>
          <cell r="H16">
            <v>-74.09855999999999</v>
          </cell>
        </row>
        <row r="17">
          <cell r="H17">
            <v>-24271.613578440003</v>
          </cell>
        </row>
        <row r="19">
          <cell r="C19">
            <v>1246.9132980900008</v>
          </cell>
          <cell r="D19">
            <v>60642.83932657</v>
          </cell>
          <cell r="F19">
            <v>16959.229841480003</v>
          </cell>
          <cell r="G19">
            <v>-14544.253879430005</v>
          </cell>
          <cell r="H19">
            <v>186180.69641234007</v>
          </cell>
        </row>
        <row r="22">
          <cell r="G22">
            <v>-9465.27734651</v>
          </cell>
        </row>
        <row r="23">
          <cell r="G23">
            <v>-2685.04284711</v>
          </cell>
        </row>
        <row r="29">
          <cell r="G29">
            <v>33631.01314657002</v>
          </cell>
        </row>
        <row r="30">
          <cell r="G30">
            <v>-2883.45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85729.95156113995</v>
          </cell>
          <cell r="E3">
            <v>78386.79789723</v>
          </cell>
          <cell r="G3">
            <v>67323.97040209001</v>
          </cell>
        </row>
        <row r="4">
          <cell r="E4">
            <v>27594.093922</v>
          </cell>
          <cell r="G4">
            <v>26016.435504180008</v>
          </cell>
        </row>
        <row r="5">
          <cell r="D5">
            <v>53528.59096306</v>
          </cell>
          <cell r="E5">
            <v>43023.96139114</v>
          </cell>
          <cell r="G5">
            <v>45641.97139868</v>
          </cell>
        </row>
        <row r="6">
          <cell r="E6">
            <v>13333.078730879999</v>
          </cell>
          <cell r="G6">
            <v>4543.5529268499995</v>
          </cell>
        </row>
        <row r="7">
          <cell r="E7">
            <v>4311.3677192</v>
          </cell>
          <cell r="G7">
            <v>6530.0944024499995</v>
          </cell>
        </row>
        <row r="8">
          <cell r="D8">
            <v>10137.116646200004</v>
          </cell>
          <cell r="E8">
            <v>3743.327436</v>
          </cell>
          <cell r="G8">
            <v>5506.95274174</v>
          </cell>
        </row>
        <row r="9">
          <cell r="D9">
            <v>4017.6461447099996</v>
          </cell>
          <cell r="E9">
            <v>6553.447432120001</v>
          </cell>
          <cell r="G9">
            <v>4956.28345877</v>
          </cell>
        </row>
        <row r="11">
          <cell r="E11">
            <v>1995.8221029600004</v>
          </cell>
        </row>
        <row r="14">
          <cell r="D14">
            <v>-146625.24107217998</v>
          </cell>
          <cell r="E14">
            <v>-145835.4359671</v>
          </cell>
        </row>
        <row r="15">
          <cell r="C15">
            <v>-76000.99571547</v>
          </cell>
          <cell r="D15">
            <v>-87967.62669686001</v>
          </cell>
          <cell r="E15">
            <v>-98224.08147433001</v>
          </cell>
        </row>
        <row r="16">
          <cell r="C16">
            <v>-24438.6754</v>
          </cell>
          <cell r="D16">
            <v>-19719.2249</v>
          </cell>
          <cell r="E16">
            <v>-256.5</v>
          </cell>
        </row>
        <row r="17">
          <cell r="C17">
            <v>-34027.57568475</v>
          </cell>
          <cell r="D17">
            <v>-78552.11777186</v>
          </cell>
          <cell r="E17">
            <v>-27082.47199665</v>
          </cell>
          <cell r="G17">
            <v>-221854.87671177997</v>
          </cell>
        </row>
        <row r="19">
          <cell r="C19">
            <v>-98887.02442874003</v>
          </cell>
          <cell r="D19">
            <v>339.3651143499995</v>
          </cell>
          <cell r="E19">
            <v>691.0531405799999</v>
          </cell>
          <cell r="G19">
            <v>-1671.5221898900004</v>
          </cell>
        </row>
        <row r="20">
          <cell r="C20">
            <v>-20981.435300800007</v>
          </cell>
          <cell r="D20">
            <v>67762.15533679999</v>
          </cell>
          <cell r="E20">
            <v>12324.551328999996</v>
          </cell>
        </row>
        <row r="22">
          <cell r="D22">
            <v>-7281.29079399</v>
          </cell>
          <cell r="E22">
            <v>-7814.870554849999</v>
          </cell>
          <cell r="G22">
            <v>-8828.39538157</v>
          </cell>
        </row>
        <row r="23">
          <cell r="D23">
            <v>-2336.27146037</v>
          </cell>
        </row>
        <row r="25">
          <cell r="E25">
            <v>-1061.275</v>
          </cell>
          <cell r="G25">
            <v>-152.141</v>
          </cell>
        </row>
        <row r="27">
          <cell r="D27">
            <v>33466.977708030005</v>
          </cell>
          <cell r="E27">
            <v>37552.23597264001</v>
          </cell>
          <cell r="G27">
            <v>2174.080601460016</v>
          </cell>
        </row>
        <row r="28">
          <cell r="D28">
            <v>-2187.5461425900003</v>
          </cell>
        </row>
        <row r="29">
          <cell r="D29">
            <v>30027.88795934</v>
          </cell>
          <cell r="E29">
            <v>39127.23163524</v>
          </cell>
          <cell r="G29">
            <v>-2022.4878746399993</v>
          </cell>
        </row>
        <row r="30">
          <cell r="D30">
            <v>-3186.25</v>
          </cell>
          <cell r="E30">
            <v>-2796.6</v>
          </cell>
          <cell r="G30">
            <v>39126.45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G14">
            <v>-127405.03211122997</v>
          </cell>
        </row>
        <row r="15">
          <cell r="G15">
            <v>-230857.43186801995</v>
          </cell>
        </row>
        <row r="16">
          <cell r="G16">
            <v>-283</v>
          </cell>
        </row>
        <row r="20">
          <cell r="G20">
            <v>253506.50426755</v>
          </cell>
        </row>
        <row r="23">
          <cell r="E23">
            <v>-5972.55600724</v>
          </cell>
        </row>
        <row r="28">
          <cell r="E28">
            <v>-8889.59839598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fog New"/>
      <sheetName val="report"/>
    </sheetNames>
    <sheetDataSet>
      <sheetData sheetId="1">
        <row r="61">
          <cell r="Q61">
            <v>175937.4283162</v>
          </cell>
        </row>
        <row r="62">
          <cell r="Q62">
            <v>-18668.65908138997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-21136.679232739996</v>
          </cell>
          <cell r="G3">
            <v>-424.820159</v>
          </cell>
          <cell r="H3">
            <v>0</v>
          </cell>
        </row>
        <row r="4">
          <cell r="B4">
            <v>-4946.6895196899995</v>
          </cell>
          <cell r="C4">
            <v>-2647.39034011</v>
          </cell>
          <cell r="D4">
            <v>-6882.6045324</v>
          </cell>
          <cell r="F4">
            <v>-12379.16849006</v>
          </cell>
          <cell r="G4">
            <v>-198.646679</v>
          </cell>
          <cell r="H4">
            <v>0</v>
          </cell>
        </row>
        <row r="5">
          <cell r="B5">
            <v>0</v>
          </cell>
          <cell r="C5">
            <v>-3965.1523100000004</v>
          </cell>
          <cell r="D5">
            <v>-1081.482</v>
          </cell>
          <cell r="F5">
            <v>-1032.083451</v>
          </cell>
          <cell r="G5">
            <v>0</v>
          </cell>
          <cell r="H5">
            <v>0</v>
          </cell>
        </row>
        <row r="7">
          <cell r="F7">
            <v>-224.22271400000005</v>
          </cell>
          <cell r="G7">
            <v>0</v>
          </cell>
          <cell r="H7">
            <v>0</v>
          </cell>
        </row>
        <row r="8">
          <cell r="B8">
            <v>-519.20115905</v>
          </cell>
          <cell r="C8">
            <v>-1384.6732630000001</v>
          </cell>
          <cell r="D8">
            <v>-1330.4139950000003</v>
          </cell>
          <cell r="F8">
            <v>-1255.157515</v>
          </cell>
          <cell r="G8">
            <v>-164.56159799999998</v>
          </cell>
          <cell r="H8">
            <v>0</v>
          </cell>
        </row>
        <row r="9">
          <cell r="B9">
            <v>0</v>
          </cell>
          <cell r="C9">
            <v>0</v>
          </cell>
          <cell r="D9">
            <v>-85</v>
          </cell>
          <cell r="F9">
            <v>-221.871935</v>
          </cell>
          <cell r="G9">
            <v>0</v>
          </cell>
          <cell r="H9">
            <v>0</v>
          </cell>
        </row>
        <row r="11">
          <cell r="F11">
            <v>-12653.181978999999</v>
          </cell>
          <cell r="G11">
            <v>-88.6</v>
          </cell>
          <cell r="H11">
            <v>0</v>
          </cell>
        </row>
        <row r="12">
          <cell r="B12">
            <v>-6418.76939348</v>
          </cell>
          <cell r="C12">
            <v>-13477.138495650002</v>
          </cell>
          <cell r="D12">
            <v>-36408.60425417001</v>
          </cell>
          <cell r="F12">
            <v>-17008.60681741</v>
          </cell>
          <cell r="G12">
            <v>-1403.442922</v>
          </cell>
          <cell r="H12">
            <v>0</v>
          </cell>
        </row>
        <row r="13">
          <cell r="B13">
            <v>-3224.781096</v>
          </cell>
          <cell r="C13">
            <v>-5145.09812627</v>
          </cell>
          <cell r="D13">
            <v>-33530.7380561</v>
          </cell>
          <cell r="F13">
            <v>-9334.29522</v>
          </cell>
          <cell r="G13">
            <v>-25</v>
          </cell>
          <cell r="H13">
            <v>0</v>
          </cell>
        </row>
        <row r="15">
          <cell r="F15">
            <v>-142.572765</v>
          </cell>
          <cell r="G15">
            <v>0</v>
          </cell>
          <cell r="H15">
            <v>0</v>
          </cell>
        </row>
        <row r="16">
          <cell r="B16">
            <v>-4520.8801</v>
          </cell>
          <cell r="C16">
            <v>-4898.783</v>
          </cell>
          <cell r="D16">
            <v>-7135.70106225</v>
          </cell>
          <cell r="F16">
            <v>-517.2289999999999</v>
          </cell>
          <cell r="G16">
            <v>-28.99</v>
          </cell>
          <cell r="H16">
            <v>0</v>
          </cell>
        </row>
        <row r="17">
          <cell r="B17">
            <v>0</v>
          </cell>
          <cell r="C17">
            <v>-2735.5823210000003</v>
          </cell>
          <cell r="D17">
            <v>-36</v>
          </cell>
          <cell r="F17">
            <v>-240</v>
          </cell>
          <cell r="G17">
            <v>0</v>
          </cell>
          <cell r="H17">
            <v>0</v>
          </cell>
        </row>
        <row r="19">
          <cell r="F19">
            <v>-164.280899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0</v>
          </cell>
          <cell r="D20">
            <v>-812.8953469999999</v>
          </cell>
          <cell r="F20">
            <v>-1168.62522</v>
          </cell>
          <cell r="G20">
            <v>-273.2153</v>
          </cell>
          <cell r="H20">
            <v>0</v>
          </cell>
        </row>
        <row r="21">
          <cell r="B21">
            <v>-763.506331</v>
          </cell>
          <cell r="C21">
            <v>0</v>
          </cell>
          <cell r="D21">
            <v>-579</v>
          </cell>
          <cell r="F21">
            <v>0</v>
          </cell>
          <cell r="G21">
            <v>0</v>
          </cell>
          <cell r="H21">
            <v>0</v>
          </cell>
        </row>
        <row r="23">
          <cell r="F23">
            <v>-364.400183</v>
          </cell>
          <cell r="G23">
            <v>0</v>
          </cell>
          <cell r="H23">
            <v>0</v>
          </cell>
        </row>
        <row r="24">
          <cell r="B24">
            <v>-519.631119</v>
          </cell>
          <cell r="C24">
            <v>0</v>
          </cell>
          <cell r="D24">
            <v>-6959.091526</v>
          </cell>
          <cell r="F24">
            <v>-3089.2964899999997</v>
          </cell>
          <cell r="G24">
            <v>-45</v>
          </cell>
          <cell r="H24">
            <v>0</v>
          </cell>
        </row>
        <row r="25">
          <cell r="B25">
            <v>-58989.288116840005</v>
          </cell>
          <cell r="C25">
            <v>-70812.61724302999</v>
          </cell>
          <cell r="D25">
            <v>-127896.97752401001</v>
          </cell>
          <cell r="F25">
            <v>-80931.67191121</v>
          </cell>
          <cell r="G25">
            <v>-2652.2766579999998</v>
          </cell>
          <cell r="H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-418.76968500000004</v>
          </cell>
          <cell r="G3">
            <v>0</v>
          </cell>
          <cell r="H3">
            <v>0</v>
          </cell>
        </row>
        <row r="4">
          <cell r="B4">
            <v>0</v>
          </cell>
          <cell r="C4">
            <v>0</v>
          </cell>
          <cell r="D4">
            <v>-8584.76931</v>
          </cell>
          <cell r="F4">
            <v>0</v>
          </cell>
          <cell r="G4">
            <v>0</v>
          </cell>
          <cell r="H4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</row>
        <row r="8">
          <cell r="B8">
            <v>0</v>
          </cell>
          <cell r="C8">
            <v>-2671.4175876599998</v>
          </cell>
          <cell r="D8">
            <v>0</v>
          </cell>
          <cell r="F8">
            <v>-72.051</v>
          </cell>
          <cell r="G8">
            <v>0</v>
          </cell>
          <cell r="H8">
            <v>0</v>
          </cell>
        </row>
        <row r="10">
          <cell r="B10">
            <v>0</v>
          </cell>
          <cell r="C10">
            <v>-937.6759020000002</v>
          </cell>
          <cell r="D10">
            <v>0</v>
          </cell>
          <cell r="F10">
            <v>-142.6866</v>
          </cell>
          <cell r="G10">
            <v>0</v>
          </cell>
          <cell r="H10">
            <v>0</v>
          </cell>
        </row>
        <row r="12">
          <cell r="B12">
            <v>-4146.648</v>
          </cell>
          <cell r="C12">
            <v>0</v>
          </cell>
          <cell r="D12">
            <v>-3832.7949</v>
          </cell>
          <cell r="F12">
            <v>0</v>
          </cell>
          <cell r="G12">
            <v>0</v>
          </cell>
          <cell r="H12">
            <v>0</v>
          </cell>
        </row>
        <row r="14">
          <cell r="B14">
            <v>-3897.094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125.650874</v>
          </cell>
          <cell r="G3">
            <v>0</v>
          </cell>
          <cell r="H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fog New"/>
      <sheetName val="report"/>
      <sheetName val="cofog"/>
      <sheetName val="Sheet1"/>
      <sheetName val="cofog summ"/>
      <sheetName val="mgmt ext"/>
      <sheetName val="charts"/>
      <sheetName val="Sheet2"/>
    </sheetNames>
    <sheetDataSet>
      <sheetData sheetId="3">
        <row r="15">
          <cell r="B1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B3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79697.93444983002</v>
          </cell>
        </row>
        <row r="4">
          <cell r="B4">
            <v>38248.19090413</v>
          </cell>
        </row>
        <row r="5">
          <cell r="B5">
            <v>54607.537163930014</v>
          </cell>
        </row>
        <row r="7">
          <cell r="B7">
            <v>3203.0941602500006</v>
          </cell>
        </row>
        <row r="18">
          <cell r="B18">
            <v>-6286.47979517</v>
          </cell>
        </row>
        <row r="19">
          <cell r="B19">
            <v>-868.6495819999999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W85"/>
  <sheetViews>
    <sheetView zoomScalePageLayoutView="0" workbookViewId="0" topLeftCell="A9">
      <selection activeCell="BU24" sqref="BU24"/>
    </sheetView>
  </sheetViews>
  <sheetFormatPr defaultColWidth="9.140625" defaultRowHeight="12.75"/>
  <cols>
    <col min="1" max="1" width="36.28125" style="0" customWidth="1"/>
    <col min="2" max="2" width="12.28125" style="47" hidden="1" customWidth="1"/>
    <col min="3" max="3" width="13.57421875" style="47" hidden="1" customWidth="1"/>
    <col min="4" max="4" width="17.421875" style="0" hidden="1" customWidth="1"/>
    <col min="5" max="5" width="20.28125" style="0" hidden="1" customWidth="1"/>
    <col min="6" max="6" width="14.7109375" style="0" hidden="1" customWidth="1"/>
    <col min="7" max="7" width="11.00390625" style="0" hidden="1" customWidth="1"/>
    <col min="8" max="8" width="27.140625" style="0" hidden="1" customWidth="1"/>
    <col min="9" max="9" width="15.57421875" style="0" hidden="1" customWidth="1"/>
    <col min="10" max="10" width="19.28125" style="0" hidden="1" customWidth="1"/>
    <col min="11" max="11" width="14.7109375" style="0" hidden="1" customWidth="1"/>
    <col min="12" max="14" width="7.7109375" style="4" hidden="1" customWidth="1"/>
    <col min="15" max="15" width="19.28125" style="0" hidden="1" customWidth="1"/>
    <col min="16" max="18" width="7.7109375" style="4" hidden="1" customWidth="1"/>
    <col min="19" max="19" width="16.8515625" style="0" hidden="1" customWidth="1"/>
    <col min="20" max="20" width="11.57421875" style="0" hidden="1" customWidth="1"/>
    <col min="21" max="21" width="13.140625" style="0" hidden="1" customWidth="1"/>
    <col min="22" max="23" width="9.00390625" style="0" hidden="1" customWidth="1"/>
    <col min="24" max="24" width="8.140625" style="0" hidden="1" customWidth="1"/>
    <col min="25" max="25" width="10.421875" style="0" hidden="1" customWidth="1"/>
    <col min="26" max="27" width="6.8515625" style="0" hidden="1" customWidth="1"/>
    <col min="28" max="28" width="7.7109375" style="0" hidden="1" customWidth="1"/>
    <col min="29" max="29" width="21.421875" style="0" hidden="1" customWidth="1"/>
    <col min="30" max="31" width="6.00390625" style="0" hidden="1" customWidth="1"/>
    <col min="32" max="32" width="4.7109375" style="0" hidden="1" customWidth="1"/>
    <col min="33" max="33" width="11.421875" style="0" hidden="1" customWidth="1"/>
    <col min="34" max="34" width="10.28125" style="0" hidden="1" customWidth="1"/>
    <col min="35" max="35" width="11.7109375" style="0" hidden="1" customWidth="1"/>
    <col min="36" max="55" width="9.140625" style="0" hidden="1" customWidth="1"/>
    <col min="56" max="56" width="19.140625" style="0" hidden="1" customWidth="1"/>
    <col min="57" max="57" width="20.00390625" style="0" hidden="1" customWidth="1"/>
    <col min="58" max="58" width="16.57421875" style="0" hidden="1" customWidth="1"/>
    <col min="59" max="59" width="13.140625" style="0" hidden="1" customWidth="1"/>
    <col min="60" max="60" width="15.57421875" style="0" hidden="1" customWidth="1"/>
    <col min="61" max="61" width="16.8515625" style="0" hidden="1" customWidth="1"/>
    <col min="62" max="62" width="15.57421875" style="0" hidden="1" customWidth="1"/>
    <col min="63" max="63" width="15.7109375" style="0" hidden="1" customWidth="1"/>
    <col min="64" max="64" width="16.8515625" style="0" hidden="1" customWidth="1"/>
    <col min="65" max="65" width="16.140625" style="0" hidden="1" customWidth="1"/>
    <col min="66" max="66" width="16.28125" style="0" hidden="1" customWidth="1"/>
    <col min="67" max="67" width="15.7109375" style="0" hidden="1" customWidth="1"/>
    <col min="68" max="69" width="14.140625" style="0" hidden="1" customWidth="1"/>
    <col min="70" max="70" width="13.140625" style="0" hidden="1" customWidth="1"/>
    <col min="71" max="71" width="14.7109375" style="0" customWidth="1"/>
    <col min="72" max="72" width="15.8515625" style="0" customWidth="1"/>
    <col min="73" max="73" width="13.140625" style="0" customWidth="1"/>
    <col min="74" max="74" width="15.8515625" style="0" customWidth="1"/>
    <col min="75" max="75" width="16.00390625" style="0" customWidth="1"/>
  </cols>
  <sheetData>
    <row r="1" spans="1:35" ht="21.75" customHeight="1">
      <c r="A1" s="137" t="s">
        <v>0</v>
      </c>
      <c r="B1" s="143"/>
      <c r="C1" s="143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33" customHeight="1">
      <c r="A2" s="185" t="s">
        <v>166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ht="18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70" ht="23.25">
      <c r="A4" s="55"/>
      <c r="B4" s="195"/>
      <c r="C4" s="196"/>
      <c r="D4" s="196"/>
      <c r="E4" s="221"/>
      <c r="F4" s="222" t="s">
        <v>91</v>
      </c>
      <c r="G4" s="223"/>
      <c r="H4" s="223"/>
      <c r="I4" s="223"/>
      <c r="J4" s="223"/>
      <c r="K4" s="222" t="s">
        <v>95</v>
      </c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4"/>
      <c r="W4" s="224"/>
      <c r="X4" s="224"/>
      <c r="Y4" s="41"/>
      <c r="Z4" s="41"/>
      <c r="AA4" s="41"/>
      <c r="AB4" s="41"/>
      <c r="AC4" s="49" t="s">
        <v>101</v>
      </c>
      <c r="AD4" s="49"/>
      <c r="AE4" s="49"/>
      <c r="AF4" s="49"/>
      <c r="AG4" s="41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61" t="s">
        <v>142</v>
      </c>
      <c r="BE4" s="261"/>
      <c r="BF4" s="261"/>
      <c r="BG4" s="232"/>
      <c r="BH4" s="257"/>
      <c r="BI4" s="257"/>
      <c r="BJ4" s="257"/>
      <c r="BK4" s="225"/>
      <c r="BL4" s="258"/>
      <c r="BM4" s="259"/>
      <c r="BN4" s="259"/>
      <c r="BP4" s="257" t="s">
        <v>167</v>
      </c>
      <c r="BQ4" s="257"/>
      <c r="BR4" s="257"/>
    </row>
    <row r="5" spans="1:75" ht="45.75" customHeight="1">
      <c r="A5" s="131"/>
      <c r="B5" s="144" t="s">
        <v>88</v>
      </c>
      <c r="C5" s="145" t="s">
        <v>89</v>
      </c>
      <c r="D5" s="123" t="s">
        <v>90</v>
      </c>
      <c r="E5" s="212" t="s">
        <v>151</v>
      </c>
      <c r="F5" s="124" t="s">
        <v>92</v>
      </c>
      <c r="G5" s="124" t="s">
        <v>93</v>
      </c>
      <c r="H5" s="124" t="s">
        <v>94</v>
      </c>
      <c r="I5" s="124" t="s">
        <v>100</v>
      </c>
      <c r="J5" s="124" t="s">
        <v>84</v>
      </c>
      <c r="K5" s="138" t="s">
        <v>96</v>
      </c>
      <c r="L5" s="123"/>
      <c r="M5" s="123"/>
      <c r="N5" s="123"/>
      <c r="O5" s="138" t="s">
        <v>97</v>
      </c>
      <c r="P5" s="123"/>
      <c r="Q5" s="123"/>
      <c r="R5" s="123"/>
      <c r="S5" s="138" t="s">
        <v>94</v>
      </c>
      <c r="T5" s="122" t="s">
        <v>102</v>
      </c>
      <c r="U5" s="124" t="s">
        <v>87</v>
      </c>
      <c r="V5" s="60"/>
      <c r="W5" s="60"/>
      <c r="X5" s="60"/>
      <c r="Y5" s="32" t="s">
        <v>96</v>
      </c>
      <c r="Z5" s="32"/>
      <c r="AA5" s="32"/>
      <c r="AB5" s="32"/>
      <c r="AC5" s="32" t="s">
        <v>97</v>
      </c>
      <c r="AD5" s="32"/>
      <c r="AE5" s="32"/>
      <c r="AF5" s="32"/>
      <c r="AG5" s="32" t="s">
        <v>94</v>
      </c>
      <c r="AH5" s="56" t="s">
        <v>104</v>
      </c>
      <c r="AI5" s="32" t="s">
        <v>103</v>
      </c>
      <c r="BD5" s="213" t="s">
        <v>88</v>
      </c>
      <c r="BE5" s="214" t="s">
        <v>89</v>
      </c>
      <c r="BF5" s="215" t="s">
        <v>90</v>
      </c>
      <c r="BG5" s="212" t="s">
        <v>145</v>
      </c>
      <c r="BH5" s="213" t="s">
        <v>88</v>
      </c>
      <c r="BI5" s="214" t="s">
        <v>89</v>
      </c>
      <c r="BJ5" s="215" t="s">
        <v>90</v>
      </c>
      <c r="BK5" s="212" t="s">
        <v>153</v>
      </c>
      <c r="BL5" s="233" t="s">
        <v>88</v>
      </c>
      <c r="BM5" s="234" t="s">
        <v>89</v>
      </c>
      <c r="BN5" s="71" t="s">
        <v>90</v>
      </c>
      <c r="BO5" s="235" t="s">
        <v>154</v>
      </c>
      <c r="BP5" s="233" t="s">
        <v>88</v>
      </c>
      <c r="BQ5" s="234" t="s">
        <v>89</v>
      </c>
      <c r="BR5" s="71" t="s">
        <v>90</v>
      </c>
      <c r="BS5" s="239" t="s">
        <v>157</v>
      </c>
      <c r="BT5" s="233" t="s">
        <v>88</v>
      </c>
      <c r="BU5" s="234" t="s">
        <v>89</v>
      </c>
      <c r="BV5" s="71" t="s">
        <v>90</v>
      </c>
      <c r="BW5" s="239" t="s">
        <v>168</v>
      </c>
    </row>
    <row r="6" spans="1:75" ht="15.75">
      <c r="A6" s="151"/>
      <c r="B6" s="146" t="s">
        <v>27</v>
      </c>
      <c r="C6" s="146" t="s">
        <v>27</v>
      </c>
      <c r="D6" s="125" t="s">
        <v>27</v>
      </c>
      <c r="E6" s="126" t="s">
        <v>27</v>
      </c>
      <c r="F6" s="126" t="s">
        <v>27</v>
      </c>
      <c r="G6" s="126" t="s">
        <v>27</v>
      </c>
      <c r="H6" s="126" t="s">
        <v>27</v>
      </c>
      <c r="I6" s="126" t="s">
        <v>27</v>
      </c>
      <c r="J6" s="126" t="s">
        <v>27</v>
      </c>
      <c r="K6" s="53" t="s">
        <v>27</v>
      </c>
      <c r="O6" s="40" t="s">
        <v>27</v>
      </c>
      <c r="P6" s="40" t="s">
        <v>27</v>
      </c>
      <c r="Q6" s="40" t="s">
        <v>27</v>
      </c>
      <c r="R6" s="40" t="s">
        <v>27</v>
      </c>
      <c r="S6" s="40" t="s">
        <v>27</v>
      </c>
      <c r="T6" s="41" t="s">
        <v>27</v>
      </c>
      <c r="U6" s="53" t="s">
        <v>27</v>
      </c>
      <c r="V6" s="53"/>
      <c r="W6" s="53"/>
      <c r="X6" s="53"/>
      <c r="Y6" s="53" t="s">
        <v>27</v>
      </c>
      <c r="Z6" s="53" t="s">
        <v>121</v>
      </c>
      <c r="AA6" s="53" t="s">
        <v>122</v>
      </c>
      <c r="AB6" s="53" t="s">
        <v>123</v>
      </c>
      <c r="AC6" s="53" t="s">
        <v>27</v>
      </c>
      <c r="AD6" s="53"/>
      <c r="AE6" s="53"/>
      <c r="AF6" s="53"/>
      <c r="AG6" s="53" t="s">
        <v>27</v>
      </c>
      <c r="AH6" s="53" t="s">
        <v>27</v>
      </c>
      <c r="AI6" s="53"/>
      <c r="BD6" s="126" t="s">
        <v>27</v>
      </c>
      <c r="BE6" s="126" t="s">
        <v>27</v>
      </c>
      <c r="BF6" s="126" t="s">
        <v>27</v>
      </c>
      <c r="BG6" s="126" t="s">
        <v>27</v>
      </c>
      <c r="BH6" s="126" t="s">
        <v>27</v>
      </c>
      <c r="BI6" s="126" t="s">
        <v>27</v>
      </c>
      <c r="BJ6" s="126" t="s">
        <v>27</v>
      </c>
      <c r="BK6" s="126" t="s">
        <v>27</v>
      </c>
      <c r="BL6" s="126" t="s">
        <v>27</v>
      </c>
      <c r="BM6" s="126" t="s">
        <v>27</v>
      </c>
      <c r="BN6" s="126" t="s">
        <v>27</v>
      </c>
      <c r="BO6" s="126" t="s">
        <v>27</v>
      </c>
      <c r="BP6" s="126" t="s">
        <v>27</v>
      </c>
      <c r="BQ6" s="126" t="s">
        <v>27</v>
      </c>
      <c r="BR6" s="126" t="s">
        <v>27</v>
      </c>
      <c r="BS6" s="126" t="s">
        <v>27</v>
      </c>
      <c r="BT6" s="126" t="s">
        <v>27</v>
      </c>
      <c r="BU6" s="126" t="s">
        <v>27</v>
      </c>
      <c r="BV6" s="126" t="s">
        <v>27</v>
      </c>
      <c r="BW6" s="126" t="s">
        <v>27</v>
      </c>
    </row>
    <row r="7" spans="1:71" ht="15.75">
      <c r="A7" s="127" t="s">
        <v>1</v>
      </c>
      <c r="B7" s="175"/>
      <c r="C7" s="141"/>
      <c r="D7" s="87"/>
      <c r="E7" s="86"/>
      <c r="F7" s="5"/>
      <c r="G7" s="5"/>
      <c r="H7" s="5"/>
      <c r="I7" s="5"/>
      <c r="J7" s="5"/>
      <c r="K7" s="5"/>
      <c r="O7" s="11"/>
      <c r="S7" s="11"/>
      <c r="T7" s="54"/>
      <c r="U7" s="5"/>
      <c r="V7" s="7"/>
      <c r="W7" s="7"/>
      <c r="X7" s="7"/>
      <c r="Y7" s="24"/>
      <c r="Z7" s="24"/>
      <c r="AA7" s="24"/>
      <c r="AB7" s="24"/>
      <c r="AC7" s="24"/>
      <c r="AD7" s="24"/>
      <c r="AE7" s="24"/>
      <c r="AF7" s="24"/>
      <c r="AG7" s="24"/>
      <c r="AH7" s="50"/>
      <c r="AI7" s="57"/>
      <c r="BD7" s="57"/>
      <c r="BE7" s="57"/>
      <c r="BF7" s="57"/>
      <c r="BG7" s="57"/>
      <c r="BH7" s="209"/>
      <c r="BI7" s="209"/>
      <c r="BJ7" s="209"/>
      <c r="BK7" s="209"/>
      <c r="BL7" s="57"/>
      <c r="BM7" s="57"/>
      <c r="BN7" s="57"/>
      <c r="BO7" s="201"/>
      <c r="BP7" s="57"/>
      <c r="BQ7" s="57"/>
      <c r="BR7" s="57"/>
      <c r="BS7" s="57"/>
    </row>
    <row r="8" spans="1:71" ht="15">
      <c r="A8" s="128" t="s">
        <v>2</v>
      </c>
      <c r="B8" s="147"/>
      <c r="C8" s="147"/>
      <c r="D8" s="87"/>
      <c r="E8" s="86"/>
      <c r="F8" s="7"/>
      <c r="G8" s="7"/>
      <c r="H8" s="7"/>
      <c r="I8" s="7"/>
      <c r="J8" s="7"/>
      <c r="K8" s="7"/>
      <c r="O8" s="11"/>
      <c r="S8" s="11"/>
      <c r="T8" s="54"/>
      <c r="U8" s="7"/>
      <c r="V8" s="7"/>
      <c r="W8" s="7"/>
      <c r="X8" s="7"/>
      <c r="Y8" s="24"/>
      <c r="Z8" s="24"/>
      <c r="AA8" s="24"/>
      <c r="AB8" s="24"/>
      <c r="AC8" s="24"/>
      <c r="AD8" s="24"/>
      <c r="AE8" s="24"/>
      <c r="AF8" s="24"/>
      <c r="AG8" s="24"/>
      <c r="AH8" s="50"/>
      <c r="AI8" s="24"/>
      <c r="BD8" s="24"/>
      <c r="BE8" s="24"/>
      <c r="BF8" s="24"/>
      <c r="BG8" s="24"/>
      <c r="BH8" s="210"/>
      <c r="BI8" s="210"/>
      <c r="BJ8" s="210"/>
      <c r="BK8" s="210"/>
      <c r="BL8" s="24"/>
      <c r="BM8" s="24"/>
      <c r="BN8" s="24"/>
      <c r="BO8" s="50"/>
      <c r="BP8" s="24"/>
      <c r="BQ8" s="24"/>
      <c r="BR8" s="210"/>
      <c r="BS8" s="24"/>
    </row>
    <row r="9" spans="1:71" s="65" customFormat="1" ht="15">
      <c r="A9" s="77"/>
      <c r="B9" s="176"/>
      <c r="C9" s="168"/>
      <c r="D9" s="171"/>
      <c r="E9" s="105"/>
      <c r="F9" s="77"/>
      <c r="G9" s="77"/>
      <c r="H9" s="77"/>
      <c r="I9" s="77"/>
      <c r="J9" s="77"/>
      <c r="K9" s="77"/>
      <c r="O9" s="172"/>
      <c r="S9" s="172"/>
      <c r="T9" s="169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169"/>
      <c r="AI9" s="77"/>
      <c r="BD9" s="77"/>
      <c r="BE9" s="77"/>
      <c r="BF9" s="77"/>
      <c r="BG9" s="193"/>
      <c r="BH9" s="198"/>
      <c r="BI9" s="198"/>
      <c r="BJ9" s="198"/>
      <c r="BK9" s="198"/>
      <c r="BL9" s="77"/>
      <c r="BM9" s="77"/>
      <c r="BN9" s="77"/>
      <c r="BO9" s="169"/>
      <c r="BP9" s="77"/>
      <c r="BQ9" s="77"/>
      <c r="BR9" s="198"/>
      <c r="BS9" s="77"/>
    </row>
    <row r="10" spans="1:75" s="65" customFormat="1" ht="16.5">
      <c r="A10" s="77" t="s">
        <v>4</v>
      </c>
      <c r="B10" s="182">
        <f>109870251825/1000000</f>
        <v>109870.251825</v>
      </c>
      <c r="C10" s="178">
        <f>6427147936/1000000</f>
        <v>6427.147936</v>
      </c>
      <c r="D10" s="178">
        <f>816235870/1000000</f>
        <v>816.23587</v>
      </c>
      <c r="E10" s="179">
        <f>B10+C10+D10</f>
        <v>117113.635631</v>
      </c>
      <c r="F10" s="105">
        <v>38044.3</v>
      </c>
      <c r="G10" s="105">
        <v>14303.46</v>
      </c>
      <c r="H10" s="105">
        <f>H9</f>
        <v>0</v>
      </c>
      <c r="I10" s="105">
        <f>F10+G10+H10</f>
        <v>52347.76</v>
      </c>
      <c r="J10" s="105">
        <f>I10+E10</f>
        <v>169461.395631</v>
      </c>
      <c r="K10" s="105">
        <v>34708</v>
      </c>
      <c r="L10" s="167" t="e">
        <f>'[3]Sheet1'!$B$31+'[4]Sheet1'!$B$14</f>
        <v>#REF!</v>
      </c>
      <c r="M10" s="167" t="e">
        <f>'[3]Sheet1'!$C$31+'[4]Sheet1'!$C$14</f>
        <v>#REF!</v>
      </c>
      <c r="N10" s="167" t="e">
        <f>'[3]Sheet1'!$D$31+'[4]Sheet1'!$D$14</f>
        <v>#REF!</v>
      </c>
      <c r="O10" s="105">
        <v>20606</v>
      </c>
      <c r="P10" s="167" t="e">
        <f>'[3]Sheet1'!$B$32</f>
        <v>#REF!</v>
      </c>
      <c r="Q10" s="167" t="e">
        <f>'[3]Sheet1'!$C$32</f>
        <v>#REF!</v>
      </c>
      <c r="R10" s="167" t="e">
        <f>'[3]Sheet1'!$D$32</f>
        <v>#REF!</v>
      </c>
      <c r="S10" s="105">
        <v>0</v>
      </c>
      <c r="T10" s="108">
        <f>S10+O10+K10</f>
        <v>55314</v>
      </c>
      <c r="U10" s="105">
        <f>T10+J10</f>
        <v>224775.395631</v>
      </c>
      <c r="V10" s="173" t="e">
        <f>'[3]Sheet1'!$F$30</f>
        <v>#REF!</v>
      </c>
      <c r="W10" s="173" t="e">
        <f>'[3]Sheet1'!$G$30</f>
        <v>#REF!</v>
      </c>
      <c r="X10" s="173" t="e">
        <f>'[3]Sheet1'!$H$30</f>
        <v>#REF!</v>
      </c>
      <c r="Y10" s="105" t="e">
        <f>SUM(V10:X10)*-1</f>
        <v>#REF!</v>
      </c>
      <c r="Z10" s="167" t="e">
        <f>'[3]Sheet1'!$F$31+'[4]Sheet1'!$F$14</f>
        <v>#REF!</v>
      </c>
      <c r="AA10" s="167" t="e">
        <f>'[3]Sheet1'!$G$31+'[4]Sheet1'!$G$14</f>
        <v>#REF!</v>
      </c>
      <c r="AB10" s="167" t="e">
        <f>'[3]Sheet1'!$H$31+'[4]Sheet1'!$H$14</f>
        <v>#REF!</v>
      </c>
      <c r="AC10" s="105" t="e">
        <f>SUM(Z10:AB10)*-1</f>
        <v>#REF!</v>
      </c>
      <c r="AD10" s="167" t="e">
        <f>'[3]Sheet1'!$F$32</f>
        <v>#REF!</v>
      </c>
      <c r="AE10" s="167" t="e">
        <f>'[3]Sheet1'!$G$32</f>
        <v>#REF!</v>
      </c>
      <c r="AF10" s="167" t="e">
        <f>'[3]Sheet1'!$H$32</f>
        <v>#REF!</v>
      </c>
      <c r="AG10" s="105" t="e">
        <f>SUM(AD10:AF10)*-1</f>
        <v>#REF!</v>
      </c>
      <c r="AH10" s="108" t="e">
        <f>AG10+AC10+Y10</f>
        <v>#REF!</v>
      </c>
      <c r="AI10" s="105" t="e">
        <f>AH10+T10+I10+E10</f>
        <v>#REF!</v>
      </c>
      <c r="BD10" s="198">
        <f>36465087703/1000000</f>
        <v>36465.087703</v>
      </c>
      <c r="BE10" s="198"/>
      <c r="BF10" s="198"/>
      <c r="BG10" s="198">
        <f aca="true" t="shared" si="0" ref="BG10:BG32">E10+BD10+BE10+BF10</f>
        <v>153578.72333399998</v>
      </c>
      <c r="BH10" s="198">
        <f>215751687463/1000000</f>
        <v>215751.687463</v>
      </c>
      <c r="BI10" s="198">
        <f>8797318936/1000000</f>
        <v>8797.318936</v>
      </c>
      <c r="BJ10" s="198">
        <f>816235870/1000000</f>
        <v>816.23587</v>
      </c>
      <c r="BK10" s="198">
        <f>(9371415160+816235870+247549869965)/1000000</f>
        <v>257737.520995</v>
      </c>
      <c r="BL10" s="198">
        <f>282267450036/1000000</f>
        <v>282267.450036</v>
      </c>
      <c r="BM10" s="198">
        <f>9452149160/1000000</f>
        <v>9452.14916</v>
      </c>
      <c r="BN10" s="198">
        <f>816235870/1000000</f>
        <v>816.23587</v>
      </c>
      <c r="BO10" s="240">
        <f>BL10+BM10+BN10</f>
        <v>292535.835066</v>
      </c>
      <c r="BP10" s="198">
        <f>34540877565/1000000</f>
        <v>34540.877565</v>
      </c>
      <c r="BQ10" s="198">
        <f>443936996/1000000</f>
        <v>443.936996</v>
      </c>
      <c r="BR10" s="198"/>
      <c r="BS10" s="198">
        <f>BO10+BP10+BQ10+BR10</f>
        <v>327520.649627</v>
      </c>
      <c r="BT10" s="167">
        <f>23606824946/1000000</f>
        <v>23606.824946</v>
      </c>
      <c r="BU10" s="167">
        <f>12367881284/1000000</f>
        <v>12367.881284</v>
      </c>
      <c r="BV10" s="167"/>
      <c r="BW10" s="167">
        <f>BS10+BT10+BU10+BV10</f>
        <v>363495.355857</v>
      </c>
    </row>
    <row r="11" spans="1:75" s="65" customFormat="1" ht="15">
      <c r="A11" s="77"/>
      <c r="B11" s="177"/>
      <c r="C11" s="178"/>
      <c r="D11" s="178"/>
      <c r="E11" s="179"/>
      <c r="F11" s="105"/>
      <c r="G11" s="105"/>
      <c r="H11" s="105"/>
      <c r="I11" s="105"/>
      <c r="J11" s="105"/>
      <c r="K11" s="105"/>
      <c r="L11" s="167"/>
      <c r="M11" s="167"/>
      <c r="N11" s="167"/>
      <c r="O11" s="105"/>
      <c r="P11" s="167"/>
      <c r="Q11" s="167"/>
      <c r="R11" s="167"/>
      <c r="S11" s="105"/>
      <c r="T11" s="108"/>
      <c r="U11" s="105"/>
      <c r="Y11" s="105"/>
      <c r="Z11" s="167"/>
      <c r="AA11" s="167"/>
      <c r="AB11" s="167"/>
      <c r="AC11" s="105"/>
      <c r="AD11" s="167"/>
      <c r="AE11" s="167"/>
      <c r="AF11" s="167"/>
      <c r="AG11" s="105"/>
      <c r="AH11" s="108"/>
      <c r="AI11" s="105"/>
      <c r="BD11" s="198"/>
      <c r="BE11" s="198"/>
      <c r="BF11" s="198"/>
      <c r="BG11" s="198">
        <f t="shared" si="0"/>
        <v>0</v>
      </c>
      <c r="BH11" s="198"/>
      <c r="BI11" s="198"/>
      <c r="BJ11" s="198"/>
      <c r="BK11" s="198"/>
      <c r="BL11" s="198"/>
      <c r="BM11" s="198"/>
      <c r="BN11" s="198"/>
      <c r="BO11" s="240">
        <f aca="true" t="shared" si="1" ref="BO11:BO28">BL11+BM11+BN11</f>
        <v>0</v>
      </c>
      <c r="BP11" s="198"/>
      <c r="BQ11" s="198"/>
      <c r="BR11" s="198"/>
      <c r="BS11" s="198">
        <f aca="true" t="shared" si="2" ref="BS11:BS28">BO11+BP11+BQ11+BR11</f>
        <v>0</v>
      </c>
      <c r="BT11" s="167"/>
      <c r="BU11" s="167"/>
      <c r="BV11" s="167"/>
      <c r="BW11" s="167">
        <f aca="true" t="shared" si="3" ref="BW11:BW31">BS11+BT11+BU11+BV11</f>
        <v>0</v>
      </c>
    </row>
    <row r="12" spans="1:75" s="65" customFormat="1" ht="16.5">
      <c r="A12" s="77" t="s">
        <v>7</v>
      </c>
      <c r="B12" s="182">
        <f>39505187197/1000000</f>
        <v>39505.187197</v>
      </c>
      <c r="C12" s="178">
        <f>37768103886.6/1000000</f>
        <v>37768.1038866</v>
      </c>
      <c r="D12" s="178">
        <f>16859337689/1000000</f>
        <v>16859.337689</v>
      </c>
      <c r="E12" s="179">
        <f>B12+C12+D12</f>
        <v>94132.6287726</v>
      </c>
      <c r="F12" s="105">
        <v>5263.25</v>
      </c>
      <c r="G12" s="105">
        <v>2648.45</v>
      </c>
      <c r="H12" s="105">
        <f>H11</f>
        <v>0</v>
      </c>
      <c r="I12" s="105">
        <f>F12+G12+H12</f>
        <v>7911.7</v>
      </c>
      <c r="J12" s="105">
        <v>15740</v>
      </c>
      <c r="K12" s="105">
        <v>5259</v>
      </c>
      <c r="L12" s="167">
        <f>'[3]Sheet1'!$B$24+'[4]Sheet1'!$B$10</f>
        <v>-519.631119</v>
      </c>
      <c r="M12" s="167">
        <f>'[3]Sheet1'!$C$24+'[4]Sheet1'!$C$10</f>
        <v>-937.6759020000002</v>
      </c>
      <c r="N12" s="167">
        <f>'[3]Sheet1'!$D$24+'[4]Sheet1'!$D$10</f>
        <v>-6959.091526</v>
      </c>
      <c r="O12" s="105">
        <v>7803</v>
      </c>
      <c r="P12" s="167">
        <f>'[3]Sheet1'!$B$25</f>
        <v>-58989.288116840005</v>
      </c>
      <c r="Q12" s="167">
        <f>'[3]Sheet1'!$C$25</f>
        <v>-70812.61724302999</v>
      </c>
      <c r="R12" s="167">
        <f>'[3]Sheet1'!$D$25</f>
        <v>-127896.97752401001</v>
      </c>
      <c r="S12" s="105">
        <v>165</v>
      </c>
      <c r="T12" s="108">
        <f>S12+O12+K12</f>
        <v>13227</v>
      </c>
      <c r="U12" s="105">
        <f>T12+J12</f>
        <v>28967</v>
      </c>
      <c r="V12" s="173">
        <f>'[3]Sheet1'!$F$23</f>
        <v>-364.400183</v>
      </c>
      <c r="W12" s="173">
        <f>'[3]Sheet1'!$G$23</f>
        <v>0</v>
      </c>
      <c r="X12" s="173">
        <f>'[3]Sheet1'!$H$23</f>
        <v>0</v>
      </c>
      <c r="Y12" s="105">
        <f>SUM(V12:X12)*-1</f>
        <v>364.400183</v>
      </c>
      <c r="Z12" s="167">
        <f>'[3]Sheet1'!$F$24+'[4]Sheet1'!$F$10</f>
        <v>-3231.9830899999997</v>
      </c>
      <c r="AA12" s="167">
        <f>'[3]Sheet1'!$G$24+'[4]Sheet1'!$G$10</f>
        <v>-45</v>
      </c>
      <c r="AB12" s="167">
        <f>'[3]Sheet1'!$H$24+'[4]Sheet1'!$H$10</f>
        <v>0</v>
      </c>
      <c r="AC12" s="105">
        <f>SUM(Z12:AB12)*-1</f>
        <v>3276.9830899999997</v>
      </c>
      <c r="AD12" s="167">
        <f>'[3]Sheet1'!$F$25</f>
        <v>-80931.67191121</v>
      </c>
      <c r="AE12" s="167">
        <f>'[3]Sheet1'!$G$25</f>
        <v>-2652.2766579999998</v>
      </c>
      <c r="AF12" s="167">
        <f>'[3]Sheet1'!$H$25</f>
        <v>0</v>
      </c>
      <c r="AG12" s="105">
        <f>SUM(AD12:AF12)*-1</f>
        <v>83583.94856921</v>
      </c>
      <c r="AH12" s="108">
        <f>AG12+AC12+Y12</f>
        <v>87225.33184221</v>
      </c>
      <c r="AI12" s="105">
        <f>AH12+T12+I12+E12</f>
        <v>202496.66061481</v>
      </c>
      <c r="BD12" s="198">
        <f>14429189515/1000000</f>
        <v>14429.189515</v>
      </c>
      <c r="BE12" s="198"/>
      <c r="BF12" s="198"/>
      <c r="BG12" s="198">
        <f t="shared" si="0"/>
        <v>108561.8182876</v>
      </c>
      <c r="BH12" s="198">
        <f>80977843712/1000000</f>
        <v>80977.843712</v>
      </c>
      <c r="BI12" s="198">
        <f>49147294254.54/1000000</f>
        <v>49147.29425454</v>
      </c>
      <c r="BJ12" s="198">
        <f>18289324489/1000000</f>
        <v>18289.324489</v>
      </c>
      <c r="BK12" s="198">
        <f>(18289324489+93894173250+52716922504.8)/1000000</f>
        <v>164900.42024379998</v>
      </c>
      <c r="BL12" s="198">
        <f>106659796851/1000000</f>
        <v>106659.796851</v>
      </c>
      <c r="BM12" s="198">
        <f>56751616672.58/1000000</f>
        <v>56751.61667258</v>
      </c>
      <c r="BN12" s="198">
        <f>18289324489/1000000</f>
        <v>18289.324489</v>
      </c>
      <c r="BO12" s="240">
        <f t="shared" si="1"/>
        <v>181700.73801258</v>
      </c>
      <c r="BP12" s="198">
        <f>13026799292/1000000</f>
        <v>13026.799292</v>
      </c>
      <c r="BQ12" s="198">
        <f>4394475442.51/1000000</f>
        <v>4394.47544251</v>
      </c>
      <c r="BR12" s="198">
        <f>851180000/1000000</f>
        <v>851.18</v>
      </c>
      <c r="BS12" s="198">
        <f t="shared" si="2"/>
        <v>199973.19274709</v>
      </c>
      <c r="BT12" s="167">
        <f>12827847068/1000000</f>
        <v>12827.847068</v>
      </c>
      <c r="BU12" s="167">
        <f>13945837994/1000000</f>
        <v>13945.837994</v>
      </c>
      <c r="BV12" s="167">
        <f>3718076195/1000000</f>
        <v>3718.076195</v>
      </c>
      <c r="BW12" s="167">
        <f t="shared" si="3"/>
        <v>230464.95400409002</v>
      </c>
    </row>
    <row r="13" spans="1:75" s="65" customFormat="1" ht="15">
      <c r="A13" s="77"/>
      <c r="B13" s="177"/>
      <c r="C13" s="178"/>
      <c r="D13" s="178"/>
      <c r="E13" s="179"/>
      <c r="F13" s="105"/>
      <c r="G13" s="105"/>
      <c r="H13" s="105"/>
      <c r="I13" s="105"/>
      <c r="J13" s="105"/>
      <c r="K13" s="105"/>
      <c r="L13" s="167"/>
      <c r="M13" s="167"/>
      <c r="N13" s="167"/>
      <c r="O13" s="105"/>
      <c r="P13" s="167"/>
      <c r="Q13" s="167"/>
      <c r="R13" s="167"/>
      <c r="S13" s="105"/>
      <c r="T13" s="108"/>
      <c r="U13" s="105"/>
      <c r="Y13" s="105"/>
      <c r="Z13" s="167"/>
      <c r="AA13" s="167"/>
      <c r="AB13" s="167"/>
      <c r="AC13" s="105"/>
      <c r="AD13" s="167"/>
      <c r="AE13" s="167"/>
      <c r="AF13" s="167"/>
      <c r="AG13" s="105"/>
      <c r="AH13" s="108"/>
      <c r="AI13" s="105"/>
      <c r="BD13" s="198"/>
      <c r="BE13" s="198"/>
      <c r="BF13" s="198"/>
      <c r="BG13" s="198">
        <f t="shared" si="0"/>
        <v>0</v>
      </c>
      <c r="BH13" s="198"/>
      <c r="BI13" s="198"/>
      <c r="BJ13" s="198"/>
      <c r="BK13" s="198"/>
      <c r="BL13" s="198"/>
      <c r="BM13" s="198"/>
      <c r="BN13" s="198"/>
      <c r="BO13" s="240">
        <f t="shared" si="1"/>
        <v>0</v>
      </c>
      <c r="BP13" s="198"/>
      <c r="BQ13" s="198"/>
      <c r="BR13" s="198"/>
      <c r="BS13" s="198">
        <f t="shared" si="2"/>
        <v>0</v>
      </c>
      <c r="BT13" s="167"/>
      <c r="BU13" s="167"/>
      <c r="BV13" s="167"/>
      <c r="BW13" s="167">
        <f t="shared" si="3"/>
        <v>0</v>
      </c>
    </row>
    <row r="14" spans="1:75" s="65" customFormat="1" ht="16.5">
      <c r="A14" s="77" t="s">
        <v>10</v>
      </c>
      <c r="B14" s="182">
        <f>1847668797/1000000</f>
        <v>1847.668797</v>
      </c>
      <c r="C14" s="178">
        <f>160000000/1000000</f>
        <v>160</v>
      </c>
      <c r="D14" s="178">
        <v>0</v>
      </c>
      <c r="E14" s="179">
        <f>B14+C14+D14</f>
        <v>2007.668797</v>
      </c>
      <c r="F14" s="105">
        <v>14167.18</v>
      </c>
      <c r="G14" s="105">
        <v>416.64</v>
      </c>
      <c r="H14" s="105">
        <v>1964</v>
      </c>
      <c r="I14" s="105">
        <f>F14+G14+H14</f>
        <v>16547.82</v>
      </c>
      <c r="J14" s="105">
        <f>I14+E14</f>
        <v>18555.488796999998</v>
      </c>
      <c r="K14" s="105">
        <v>13737</v>
      </c>
      <c r="L14" s="167">
        <f>'[3]Sheet1'!$B$20+'[4]Sheet1'!$B$8</f>
        <v>0</v>
      </c>
      <c r="M14" s="167">
        <f>'[3]Sheet1'!$C$20+'[4]Sheet1'!$C$8</f>
        <v>-2671.4175876599998</v>
      </c>
      <c r="N14" s="167">
        <f>'[3]Sheet1'!$D$20+'[4]Sheet1'!$D$8</f>
        <v>-812.8953469999999</v>
      </c>
      <c r="O14" s="105">
        <v>375</v>
      </c>
      <c r="P14" s="167">
        <f>'[3]Sheet1'!$B$21</f>
        <v>-763.506331</v>
      </c>
      <c r="Q14" s="167">
        <f>'[3]Sheet1'!$C$21</f>
        <v>0</v>
      </c>
      <c r="R14" s="167">
        <f>'[3]Sheet1'!$D$21</f>
        <v>-579</v>
      </c>
      <c r="S14" s="105">
        <v>430</v>
      </c>
      <c r="T14" s="108">
        <f>S14+O14+K14</f>
        <v>14542</v>
      </c>
      <c r="U14" s="105">
        <f>T14+J14</f>
        <v>33097.488797</v>
      </c>
      <c r="V14" s="173">
        <f>'[3]Sheet1'!$F$19</f>
        <v>-164.280899</v>
      </c>
      <c r="W14" s="173">
        <f>'[3]Sheet1'!$G$19</f>
        <v>0</v>
      </c>
      <c r="X14" s="173">
        <f>'[3]Sheet1'!$H$19</f>
        <v>0</v>
      </c>
      <c r="Y14" s="105">
        <f>SUM(V14:X14)*-1</f>
        <v>164.280899</v>
      </c>
      <c r="Z14" s="167">
        <f>'[3]Sheet1'!$F$20+'[4]Sheet1'!$F$8</f>
        <v>-1240.6762199999998</v>
      </c>
      <c r="AA14" s="167">
        <f>'[3]Sheet1'!$G$20+'[4]Sheet1'!$G$8</f>
        <v>-273.2153</v>
      </c>
      <c r="AB14" s="167">
        <f>'[3]Sheet1'!$H$20+'[4]Sheet1'!$H$8</f>
        <v>0</v>
      </c>
      <c r="AC14" s="105">
        <f>SUM(Z14:AB14)*-1</f>
        <v>1513.89152</v>
      </c>
      <c r="AD14" s="167">
        <f>'[3]Sheet1'!$F$21</f>
        <v>0</v>
      </c>
      <c r="AE14" s="167">
        <f>'[3]Sheet1'!$G$21</f>
        <v>0</v>
      </c>
      <c r="AF14" s="167">
        <f>'[3]Sheet1'!$H$21</f>
        <v>0</v>
      </c>
      <c r="AG14" s="105">
        <f>SUM(AD14:AF14)*-1</f>
        <v>0</v>
      </c>
      <c r="AH14" s="108">
        <f>AG14+AC14+Y14</f>
        <v>1678.172419</v>
      </c>
      <c r="AI14" s="105">
        <f>AH14+T14+I14+E14</f>
        <v>34775.661216</v>
      </c>
      <c r="BD14" s="198">
        <f>524668224/1000000</f>
        <v>524.668224</v>
      </c>
      <c r="BE14" s="198"/>
      <c r="BF14" s="198"/>
      <c r="BG14" s="198">
        <f t="shared" si="0"/>
        <v>2532.3370210000003</v>
      </c>
      <c r="BH14" s="198">
        <f>3427511829/1000000</f>
        <v>3427.511829</v>
      </c>
      <c r="BI14" s="198">
        <f>1353322750/1000000</f>
        <v>1353.32275</v>
      </c>
      <c r="BJ14" s="198"/>
      <c r="BK14" s="198">
        <f>(4004697626+1353322750)/1000000</f>
        <v>5358.020376</v>
      </c>
      <c r="BL14" s="198">
        <f>4660392858/1000000</f>
        <v>4660.392858</v>
      </c>
      <c r="BM14" s="198">
        <f>1569897750/1000000</f>
        <v>1569.89775</v>
      </c>
      <c r="BN14" s="198"/>
      <c r="BO14" s="240">
        <f t="shared" si="1"/>
        <v>6230.290608</v>
      </c>
      <c r="BP14" s="198">
        <f>636094101/1000000</f>
        <v>636.094101</v>
      </c>
      <c r="BQ14" s="198">
        <f>319221000.1/1000000</f>
        <v>319.2210001</v>
      </c>
      <c r="BR14" s="198"/>
      <c r="BS14" s="198">
        <f t="shared" si="2"/>
        <v>7185.6057091</v>
      </c>
      <c r="BT14" s="167">
        <f>609289372/1000000</f>
        <v>609.289372</v>
      </c>
      <c r="BU14" s="167">
        <f>1165890000/1000000</f>
        <v>1165.89</v>
      </c>
      <c r="BV14" s="167"/>
      <c r="BW14" s="167">
        <f t="shared" si="3"/>
        <v>8960.7850811</v>
      </c>
    </row>
    <row r="15" spans="1:75" s="65" customFormat="1" ht="15">
      <c r="A15" s="77"/>
      <c r="B15" s="177"/>
      <c r="C15" s="178"/>
      <c r="D15" s="180"/>
      <c r="E15" s="179"/>
      <c r="F15" s="77"/>
      <c r="G15" s="77"/>
      <c r="H15" s="105"/>
      <c r="I15" s="105"/>
      <c r="J15" s="105"/>
      <c r="K15" s="105"/>
      <c r="L15" s="167"/>
      <c r="M15" s="167"/>
      <c r="N15" s="167"/>
      <c r="O15" s="105"/>
      <c r="P15" s="167"/>
      <c r="Q15" s="167"/>
      <c r="R15" s="167"/>
      <c r="S15" s="105"/>
      <c r="T15" s="108"/>
      <c r="U15" s="105"/>
      <c r="Y15" s="105"/>
      <c r="Z15" s="167"/>
      <c r="AA15" s="167"/>
      <c r="AB15" s="167"/>
      <c r="AC15" s="105"/>
      <c r="AD15" s="167"/>
      <c r="AE15" s="167"/>
      <c r="AF15" s="167"/>
      <c r="AG15" s="105"/>
      <c r="AH15" s="108"/>
      <c r="AI15" s="105"/>
      <c r="BD15" s="198"/>
      <c r="BE15" s="198"/>
      <c r="BF15" s="198"/>
      <c r="BG15" s="198">
        <f t="shared" si="0"/>
        <v>0</v>
      </c>
      <c r="BH15" s="198"/>
      <c r="BI15" s="198"/>
      <c r="BJ15" s="198"/>
      <c r="BK15" s="198"/>
      <c r="BL15" s="198"/>
      <c r="BM15" s="198"/>
      <c r="BN15" s="198"/>
      <c r="BO15" s="240">
        <f t="shared" si="1"/>
        <v>0</v>
      </c>
      <c r="BP15" s="198"/>
      <c r="BQ15" s="198"/>
      <c r="BR15" s="198"/>
      <c r="BS15" s="198">
        <f t="shared" si="2"/>
        <v>0</v>
      </c>
      <c r="BT15" s="167"/>
      <c r="BU15" s="167"/>
      <c r="BV15" s="167"/>
      <c r="BW15" s="167">
        <f t="shared" si="3"/>
        <v>0</v>
      </c>
    </row>
    <row r="16" spans="1:75" s="65" customFormat="1" ht="16.5">
      <c r="A16" s="77" t="s">
        <v>85</v>
      </c>
      <c r="B16" s="182">
        <f>14715857239/1000000</f>
        <v>14715.857239</v>
      </c>
      <c r="C16" s="181">
        <f>7295500000/1000000</f>
        <v>7295.5</v>
      </c>
      <c r="D16" s="178">
        <v>0</v>
      </c>
      <c r="E16" s="179">
        <f>B16+C16+D16</f>
        <v>22011.357239</v>
      </c>
      <c r="F16" s="105">
        <v>12165.39</v>
      </c>
      <c r="G16" s="105">
        <v>10343.15</v>
      </c>
      <c r="H16" s="105">
        <f>H15</f>
        <v>0</v>
      </c>
      <c r="I16" s="105">
        <f>F16+G16+H16</f>
        <v>22508.54</v>
      </c>
      <c r="J16" s="105">
        <v>41144</v>
      </c>
      <c r="K16" s="105">
        <v>10426</v>
      </c>
      <c r="L16" s="167">
        <f>'[3]Sheet1'!$B$8</f>
        <v>-519.20115905</v>
      </c>
      <c r="M16" s="167">
        <f>'[3]Sheet1'!$C$8</f>
        <v>-1384.6732630000001</v>
      </c>
      <c r="N16" s="167">
        <f>'[3]Sheet1'!$D$8</f>
        <v>-1330.4139950000003</v>
      </c>
      <c r="O16" s="105">
        <v>15474</v>
      </c>
      <c r="P16" s="167">
        <f>'[3]Sheet1'!$B$9</f>
        <v>0</v>
      </c>
      <c r="Q16" s="167">
        <f>'[3]Sheet1'!$C$9</f>
        <v>0</v>
      </c>
      <c r="R16" s="167">
        <f>'[3]Sheet1'!$D$9</f>
        <v>-85</v>
      </c>
      <c r="S16" s="105">
        <v>0</v>
      </c>
      <c r="T16" s="108">
        <f>S16+O16+K16</f>
        <v>25900</v>
      </c>
      <c r="U16" s="105">
        <f>T16+J16</f>
        <v>67044</v>
      </c>
      <c r="V16" s="173">
        <f>'[3]Sheet1'!$F$7-'[5]Sheet1'!$F$3</f>
        <v>-349.87358800000004</v>
      </c>
      <c r="W16" s="173">
        <f>'[3]Sheet1'!$G$7</f>
        <v>0</v>
      </c>
      <c r="X16" s="173">
        <f>'[3]Sheet1'!$H$7</f>
        <v>0</v>
      </c>
      <c r="Y16" s="105">
        <f>SUM(V16:X16)*-1</f>
        <v>349.87358800000004</v>
      </c>
      <c r="Z16" s="167">
        <f>'[3]Sheet1'!$F$8</f>
        <v>-1255.157515</v>
      </c>
      <c r="AA16" s="167">
        <f>'[3]Sheet1'!$G$8</f>
        <v>-164.56159799999998</v>
      </c>
      <c r="AB16" s="167">
        <f>'[3]Sheet1'!$H$8</f>
        <v>0</v>
      </c>
      <c r="AC16" s="105">
        <f>SUM(Z16:AB16)*-1</f>
        <v>1419.719113</v>
      </c>
      <c r="AD16" s="167">
        <f>'[3]Sheet1'!$F$9</f>
        <v>-221.871935</v>
      </c>
      <c r="AE16" s="167">
        <f>'[3]Sheet1'!$G$9</f>
        <v>0</v>
      </c>
      <c r="AF16" s="167">
        <f>'[3]Sheet1'!$H$9</f>
        <v>0</v>
      </c>
      <c r="AG16" s="105">
        <f>SUM(AD16:AF16)*-1</f>
        <v>221.871935</v>
      </c>
      <c r="AH16" s="108">
        <f>AG16+AC16+Y16</f>
        <v>1991.4646360000002</v>
      </c>
      <c r="AI16" s="105">
        <f>AH16+T16+I16+E16</f>
        <v>72411.361875</v>
      </c>
      <c r="BD16" s="198">
        <f>4149148653/1000000</f>
        <v>4149.148653</v>
      </c>
      <c r="BE16" s="198">
        <f>36596272347/1000000</f>
        <v>36596.272347</v>
      </c>
      <c r="BF16" s="198"/>
      <c r="BG16" s="198">
        <f t="shared" si="0"/>
        <v>62756.778239</v>
      </c>
      <c r="BH16" s="198">
        <f>26589382059/1000000</f>
        <v>26589.382059</v>
      </c>
      <c r="BI16" s="198">
        <f>43947951047/1000000</f>
        <v>43947.951047</v>
      </c>
      <c r="BJ16" s="198"/>
      <c r="BK16" s="198">
        <f>(44362651047+30573279491)/1000000</f>
        <v>74935.930538</v>
      </c>
      <c r="BL16" s="198">
        <f>34824977596/1000000</f>
        <v>34824.977596</v>
      </c>
      <c r="BM16" s="198">
        <f>48873719149/1000000</f>
        <v>48873.719149</v>
      </c>
      <c r="BN16" s="198"/>
      <c r="BO16" s="240">
        <f t="shared" si="1"/>
        <v>83698.696745</v>
      </c>
      <c r="BP16" s="198">
        <f>3823395974/1000000</f>
        <v>3823.395974</v>
      </c>
      <c r="BQ16" s="198">
        <f>734646649.25/1000000</f>
        <v>734.64664925</v>
      </c>
      <c r="BR16" s="198"/>
      <c r="BS16" s="198">
        <f t="shared" si="2"/>
        <v>88256.73936825</v>
      </c>
      <c r="BT16" s="167">
        <f>3868807898/1000000</f>
        <v>3868.807898</v>
      </c>
      <c r="BU16" s="167">
        <f>63306834082/1000000</f>
        <v>63306.834082</v>
      </c>
      <c r="BV16" s="167"/>
      <c r="BW16" s="167">
        <f t="shared" si="3"/>
        <v>155432.38134825</v>
      </c>
    </row>
    <row r="17" spans="1:75" s="65" customFormat="1" ht="15">
      <c r="A17" s="77"/>
      <c r="B17" s="177"/>
      <c r="C17" s="178"/>
      <c r="D17" s="180"/>
      <c r="E17" s="179"/>
      <c r="F17" s="105"/>
      <c r="G17" s="105"/>
      <c r="H17" s="105"/>
      <c r="I17" s="105"/>
      <c r="J17" s="105"/>
      <c r="K17" s="105"/>
      <c r="L17" s="167"/>
      <c r="M17" s="167"/>
      <c r="N17" s="167"/>
      <c r="O17" s="105"/>
      <c r="P17" s="167"/>
      <c r="Q17" s="167"/>
      <c r="R17" s="167"/>
      <c r="S17" s="105"/>
      <c r="T17" s="108"/>
      <c r="U17" s="105"/>
      <c r="Y17" s="105"/>
      <c r="Z17" s="167"/>
      <c r="AA17" s="167"/>
      <c r="AB17" s="167"/>
      <c r="AC17" s="105"/>
      <c r="AD17" s="167"/>
      <c r="AE17" s="167"/>
      <c r="AF17" s="167"/>
      <c r="AG17" s="105"/>
      <c r="AH17" s="108"/>
      <c r="AI17" s="105"/>
      <c r="BD17" s="198"/>
      <c r="BE17" s="198"/>
      <c r="BF17" s="198"/>
      <c r="BG17" s="198">
        <f t="shared" si="0"/>
        <v>0</v>
      </c>
      <c r="BH17" s="198"/>
      <c r="BI17" s="198"/>
      <c r="BJ17" s="198"/>
      <c r="BK17" s="198"/>
      <c r="BL17" s="198"/>
      <c r="BM17" s="198"/>
      <c r="BN17" s="198"/>
      <c r="BO17" s="240">
        <f t="shared" si="1"/>
        <v>0</v>
      </c>
      <c r="BP17" s="198"/>
      <c r="BQ17" s="198"/>
      <c r="BR17" s="198"/>
      <c r="BS17" s="198">
        <f t="shared" si="2"/>
        <v>0</v>
      </c>
      <c r="BT17" s="167"/>
      <c r="BU17" s="167"/>
      <c r="BV17" s="167"/>
      <c r="BW17" s="167">
        <f t="shared" si="3"/>
        <v>0</v>
      </c>
    </row>
    <row r="18" spans="1:75" s="65" customFormat="1" ht="15">
      <c r="A18" s="77" t="s">
        <v>14</v>
      </c>
      <c r="B18" s="177">
        <f>38290830978/1000000</f>
        <v>38290.830978</v>
      </c>
      <c r="C18" s="177">
        <f>39998535602.3/1000000</f>
        <v>39998.535602300006</v>
      </c>
      <c r="D18" s="177">
        <v>0</v>
      </c>
      <c r="E18" s="179">
        <f>B18+C18+D18</f>
        <v>78289.3665803</v>
      </c>
      <c r="F18" s="105">
        <v>9882.02</v>
      </c>
      <c r="G18" s="105">
        <v>10242.32</v>
      </c>
      <c r="H18" s="105">
        <v>28.56</v>
      </c>
      <c r="I18" s="105">
        <f>F18+G18+H18</f>
        <v>20152.9</v>
      </c>
      <c r="J18" s="105">
        <v>35024</v>
      </c>
      <c r="K18" s="105">
        <v>9603</v>
      </c>
      <c r="L18" s="167">
        <f>'[3]Sheet1'!$B$12</f>
        <v>-6418.76939348</v>
      </c>
      <c r="M18" s="167">
        <f>'[3]Sheet1'!$C$12</f>
        <v>-13477.138495650002</v>
      </c>
      <c r="N18" s="167">
        <f>'[3]Sheet1'!$D$12</f>
        <v>-36408.60425417001</v>
      </c>
      <c r="O18" s="105">
        <v>9670</v>
      </c>
      <c r="P18" s="167">
        <f>'[3]Sheet1'!$B$13</f>
        <v>-3224.781096</v>
      </c>
      <c r="Q18" s="167">
        <f>'[3]Sheet1'!$C$13</f>
        <v>-5145.09812627</v>
      </c>
      <c r="R18" s="167">
        <f>'[3]Sheet1'!$D$13</f>
        <v>-33530.7380561</v>
      </c>
      <c r="S18" s="105">
        <v>169</v>
      </c>
      <c r="T18" s="108">
        <f>S18+O18+K18</f>
        <v>19442</v>
      </c>
      <c r="U18" s="105">
        <f>T18+J18</f>
        <v>54466</v>
      </c>
      <c r="V18" s="173">
        <f>'[3]Sheet1'!$F$11</f>
        <v>-12653.181978999999</v>
      </c>
      <c r="W18" s="173">
        <f>'[3]Sheet1'!$G$11</f>
        <v>-88.6</v>
      </c>
      <c r="X18" s="173">
        <f>'[3]Sheet1'!$H$11</f>
        <v>0</v>
      </c>
      <c r="Y18" s="105">
        <f>SUM(V18:X18)*-1</f>
        <v>12741.781979</v>
      </c>
      <c r="Z18" s="167">
        <f>'[3]Sheet1'!$F$12</f>
        <v>-17008.60681741</v>
      </c>
      <c r="AA18" s="167">
        <f>'[3]Sheet1'!$G$12</f>
        <v>-1403.442922</v>
      </c>
      <c r="AB18" s="167">
        <f>'[3]Sheet1'!$H$12</f>
        <v>0</v>
      </c>
      <c r="AC18" s="105">
        <f>SUM(Z18:AB18)*-1</f>
        <v>18412.04973941</v>
      </c>
      <c r="AD18" s="167">
        <f>'[3]Sheet1'!$F$13</f>
        <v>-9334.29522</v>
      </c>
      <c r="AE18" s="167">
        <f>'[3]Sheet1'!$G$13</f>
        <v>-25</v>
      </c>
      <c r="AF18" s="167">
        <f>'[3]Sheet1'!$H$13</f>
        <v>0</v>
      </c>
      <c r="AG18" s="105">
        <f>SUM(AD18:AF18)*-1</f>
        <v>9359.29522</v>
      </c>
      <c r="AH18" s="108">
        <f>AG18+AC18+Y18</f>
        <v>40513.12693841</v>
      </c>
      <c r="AI18" s="105">
        <f>AH18+T18+I18+E18</f>
        <v>158397.39351871</v>
      </c>
      <c r="BD18" s="198">
        <f>15471232670/1000000</f>
        <v>15471.23267</v>
      </c>
      <c r="BE18" s="198">
        <f>2665500000/1000000</f>
        <v>2665.5</v>
      </c>
      <c r="BF18" s="198"/>
      <c r="BG18" s="198">
        <f t="shared" si="0"/>
        <v>96426.0992503</v>
      </c>
      <c r="BH18" s="198">
        <f>76415422424/1000000</f>
        <v>76415.422424</v>
      </c>
      <c r="BI18" s="198">
        <f>49310732244.41/1000000</f>
        <v>49310.73224441001</v>
      </c>
      <c r="BJ18" s="198"/>
      <c r="BK18" s="198">
        <f>(91929797014+54387231472.41)/1000000</f>
        <v>146317.02848641</v>
      </c>
      <c r="BL18" s="198">
        <f>104409304803/1000000</f>
        <v>104409.304803</v>
      </c>
      <c r="BM18" s="198">
        <f>69673400447.34/1000000</f>
        <v>69673.40044734</v>
      </c>
      <c r="BN18" s="198"/>
      <c r="BO18" s="240">
        <f t="shared" si="1"/>
        <v>174082.70525034</v>
      </c>
      <c r="BP18" s="198">
        <f>11313034030/1000000</f>
        <v>11313.03403</v>
      </c>
      <c r="BQ18" s="198">
        <f>36900441971.23/1000000</f>
        <v>36900.44197123</v>
      </c>
      <c r="BR18" s="198"/>
      <c r="BS18" s="198">
        <f t="shared" si="2"/>
        <v>222296.18125157</v>
      </c>
      <c r="BT18" s="167">
        <f>11355930961/1000000</f>
        <v>11355.930961</v>
      </c>
      <c r="BU18" s="167">
        <f>3424301507/1000000</f>
        <v>3424.301507</v>
      </c>
      <c r="BV18" s="167"/>
      <c r="BW18" s="167">
        <f t="shared" si="3"/>
        <v>237076.41371957</v>
      </c>
    </row>
    <row r="19" spans="1:75" s="65" customFormat="1" ht="15">
      <c r="A19" s="77"/>
      <c r="B19" s="177"/>
      <c r="C19" s="178"/>
      <c r="D19" s="180"/>
      <c r="E19" s="179"/>
      <c r="F19" s="105"/>
      <c r="G19" s="105"/>
      <c r="H19" s="105"/>
      <c r="I19" s="105"/>
      <c r="J19" s="105"/>
      <c r="K19" s="105"/>
      <c r="L19" s="167"/>
      <c r="M19" s="167"/>
      <c r="N19" s="167"/>
      <c r="O19" s="105"/>
      <c r="P19" s="167"/>
      <c r="Q19" s="167"/>
      <c r="R19" s="167"/>
      <c r="S19" s="105"/>
      <c r="T19" s="108"/>
      <c r="U19" s="105"/>
      <c r="Y19" s="105"/>
      <c r="Z19" s="167"/>
      <c r="AA19" s="167"/>
      <c r="AB19" s="167"/>
      <c r="AC19" s="105"/>
      <c r="AD19" s="167"/>
      <c r="AE19" s="167"/>
      <c r="AF19" s="167"/>
      <c r="AG19" s="105"/>
      <c r="AH19" s="108"/>
      <c r="AI19" s="105"/>
      <c r="BD19" s="198"/>
      <c r="BE19" s="198"/>
      <c r="BF19" s="198"/>
      <c r="BG19" s="198">
        <f t="shared" si="0"/>
        <v>0</v>
      </c>
      <c r="BH19" s="198"/>
      <c r="BI19" s="198"/>
      <c r="BJ19" s="198"/>
      <c r="BK19" s="198"/>
      <c r="BL19" s="198"/>
      <c r="BM19" s="198"/>
      <c r="BN19" s="198"/>
      <c r="BO19" s="240">
        <f t="shared" si="1"/>
        <v>0</v>
      </c>
      <c r="BP19" s="198"/>
      <c r="BQ19" s="198"/>
      <c r="BR19" s="198"/>
      <c r="BS19" s="198">
        <f t="shared" si="2"/>
        <v>0</v>
      </c>
      <c r="BT19" s="167"/>
      <c r="BU19" s="167"/>
      <c r="BV19" s="167"/>
      <c r="BW19" s="167">
        <f t="shared" si="3"/>
        <v>0</v>
      </c>
    </row>
    <row r="20" spans="1:75" s="65" customFormat="1" ht="16.5">
      <c r="A20" s="77" t="s">
        <v>15</v>
      </c>
      <c r="B20" s="182">
        <f>274914227/1000000</f>
        <v>274.914227</v>
      </c>
      <c r="C20" s="178">
        <f>2061463750/1000000</f>
        <v>2061.46375</v>
      </c>
      <c r="D20" s="178">
        <v>0</v>
      </c>
      <c r="E20" s="179">
        <f>B20+C20+D20</f>
        <v>2336.377977</v>
      </c>
      <c r="F20" s="105">
        <v>148.42</v>
      </c>
      <c r="G20" s="105">
        <v>266.89</v>
      </c>
      <c r="H20" s="105">
        <f>H19</f>
        <v>0</v>
      </c>
      <c r="I20" s="105">
        <f>F20+G20+H20</f>
        <v>415.30999999999995</v>
      </c>
      <c r="J20" s="105">
        <f>I20+E20</f>
        <v>2751.687977</v>
      </c>
      <c r="K20" s="105">
        <v>134</v>
      </c>
      <c r="L20" s="167" t="e">
        <f>'[3]Sheet1'!$B$28+'[4]Sheet1'!$B$12</f>
        <v>#REF!</v>
      </c>
      <c r="M20" s="167" t="e">
        <f>'[3]Sheet1'!$C$28+'[4]Sheet1'!$C$12</f>
        <v>#REF!</v>
      </c>
      <c r="N20" s="167" t="e">
        <f>'[3]Sheet1'!$D$28+'[4]Sheet1'!$D$12</f>
        <v>#REF!</v>
      </c>
      <c r="O20" s="105">
        <v>418</v>
      </c>
      <c r="P20" s="167">
        <v>0</v>
      </c>
      <c r="Q20" s="167">
        <v>0</v>
      </c>
      <c r="R20" s="167">
        <v>0</v>
      </c>
      <c r="S20" s="105">
        <v>0</v>
      </c>
      <c r="T20" s="108">
        <f>S20+O20+K20</f>
        <v>552</v>
      </c>
      <c r="U20" s="105">
        <f>T20+J20</f>
        <v>3303.687977</v>
      </c>
      <c r="V20" s="173" t="e">
        <f>'[3]Sheet1'!$F$27</f>
        <v>#REF!</v>
      </c>
      <c r="W20" s="173" t="e">
        <f>'[3]Sheet1'!$G$27</f>
        <v>#REF!</v>
      </c>
      <c r="X20" s="173" t="e">
        <f>'[3]Sheet1'!$H$27</f>
        <v>#REF!</v>
      </c>
      <c r="Y20" s="105" t="e">
        <f>SUM(V20:X20)*-1</f>
        <v>#REF!</v>
      </c>
      <c r="Z20" s="167" t="e">
        <f>'[3]Sheet1'!$F$28+'[4]Sheet1'!$F$12</f>
        <v>#REF!</v>
      </c>
      <c r="AA20" s="167" t="e">
        <f>'[3]Sheet1'!$G$28+'[4]Sheet1'!$G$12</f>
        <v>#REF!</v>
      </c>
      <c r="AB20" s="167" t="e">
        <f>'[3]Sheet1'!$H$28+'[4]Sheet1'!$H$12</f>
        <v>#REF!</v>
      </c>
      <c r="AC20" s="105" t="e">
        <f>SUM(Z20:AB20)*-1</f>
        <v>#REF!</v>
      </c>
      <c r="AD20" s="167">
        <v>0</v>
      </c>
      <c r="AE20" s="167">
        <v>0</v>
      </c>
      <c r="AF20" s="167">
        <v>0</v>
      </c>
      <c r="AG20" s="105">
        <f>SUM(AD20:AF20)*-1</f>
        <v>0</v>
      </c>
      <c r="AH20" s="108" t="e">
        <f>AG20+AC20+Y20</f>
        <v>#REF!</v>
      </c>
      <c r="AI20" s="105" t="e">
        <f>AH20+T20+I20+E20</f>
        <v>#REF!</v>
      </c>
      <c r="BD20" s="198">
        <f>104357272/1000000</f>
        <v>104.357272</v>
      </c>
      <c r="BE20" s="198"/>
      <c r="BF20" s="198"/>
      <c r="BG20" s="198">
        <f t="shared" si="0"/>
        <v>2440.7352490000003</v>
      </c>
      <c r="BH20" s="198">
        <f>501236276/1000000</f>
        <v>501.236276</v>
      </c>
      <c r="BI20" s="198">
        <f>3125180761.48/1000000</f>
        <v>3125.18076148</v>
      </c>
      <c r="BJ20" s="198"/>
      <c r="BK20" s="198">
        <f>(766680676+3774145033.11)/1000000</f>
        <v>4540.82570911</v>
      </c>
      <c r="BL20" s="198">
        <f>879339893/1000000</f>
        <v>879.339893</v>
      </c>
      <c r="BM20" s="198">
        <f>7068913133.81/1000000</f>
        <v>7068.9131338100005</v>
      </c>
      <c r="BN20" s="198"/>
      <c r="BO20" s="240">
        <f t="shared" si="1"/>
        <v>7948.253026810001</v>
      </c>
      <c r="BP20" s="198">
        <f>162399988/1000000</f>
        <v>162.399988</v>
      </c>
      <c r="BQ20" s="198"/>
      <c r="BR20" s="198"/>
      <c r="BS20" s="198">
        <f t="shared" si="2"/>
        <v>8110.653014810001</v>
      </c>
      <c r="BT20" s="167">
        <f>89514075/1000000</f>
        <v>89.514075</v>
      </c>
      <c r="BU20" s="167">
        <f>98984380/1000000</f>
        <v>98.98438</v>
      </c>
      <c r="BV20" s="167"/>
      <c r="BW20" s="167">
        <f t="shared" si="3"/>
        <v>8299.15146981</v>
      </c>
    </row>
    <row r="21" spans="1:75" s="65" customFormat="1" ht="15">
      <c r="A21" s="77"/>
      <c r="B21" s="177"/>
      <c r="C21" s="178"/>
      <c r="D21" s="178"/>
      <c r="E21" s="179"/>
      <c r="F21" s="105"/>
      <c r="G21" s="105"/>
      <c r="H21" s="105"/>
      <c r="I21" s="105"/>
      <c r="J21" s="105"/>
      <c r="K21" s="105"/>
      <c r="L21" s="167"/>
      <c r="M21" s="167"/>
      <c r="N21" s="167"/>
      <c r="O21" s="105"/>
      <c r="P21" s="167"/>
      <c r="Q21" s="167"/>
      <c r="R21" s="167"/>
      <c r="S21" s="105"/>
      <c r="T21" s="108"/>
      <c r="U21" s="105"/>
      <c r="Y21" s="105"/>
      <c r="Z21" s="167"/>
      <c r="AA21" s="167"/>
      <c r="AB21" s="167"/>
      <c r="AC21" s="105"/>
      <c r="AD21" s="167"/>
      <c r="AE21" s="167"/>
      <c r="AF21" s="167"/>
      <c r="AG21" s="105"/>
      <c r="AH21" s="108"/>
      <c r="AI21" s="105"/>
      <c r="BD21" s="198"/>
      <c r="BE21" s="198"/>
      <c r="BF21" s="198"/>
      <c r="BG21" s="198">
        <f t="shared" si="0"/>
        <v>0</v>
      </c>
      <c r="BH21" s="198"/>
      <c r="BI21" s="198"/>
      <c r="BJ21" s="198"/>
      <c r="BK21" s="198"/>
      <c r="BL21" s="198"/>
      <c r="BM21" s="198"/>
      <c r="BN21" s="198"/>
      <c r="BO21" s="240">
        <f t="shared" si="1"/>
        <v>0</v>
      </c>
      <c r="BP21" s="198"/>
      <c r="BQ21" s="198"/>
      <c r="BR21" s="198"/>
      <c r="BS21" s="198">
        <f t="shared" si="2"/>
        <v>0</v>
      </c>
      <c r="BT21" s="167"/>
      <c r="BU21" s="167"/>
      <c r="BV21" s="167"/>
      <c r="BW21" s="167">
        <f t="shared" si="3"/>
        <v>0</v>
      </c>
    </row>
    <row r="22" spans="1:75" s="65" customFormat="1" ht="16.5">
      <c r="A22" s="77" t="s">
        <v>86</v>
      </c>
      <c r="B22" s="182">
        <f>741029647/1000000</f>
        <v>741.029647</v>
      </c>
      <c r="C22" s="178">
        <f>63158130/1000000</f>
        <v>63.15813</v>
      </c>
      <c r="D22" s="178">
        <f>86066947976.15/1000000</f>
        <v>86066.94797615</v>
      </c>
      <c r="E22" s="179">
        <f>B22+C22+D22</f>
        <v>86871.13575315</v>
      </c>
      <c r="F22" s="105"/>
      <c r="G22" s="105"/>
      <c r="H22" s="105"/>
      <c r="I22" s="105"/>
      <c r="J22" s="105">
        <f>I22+E22</f>
        <v>86871.13575315</v>
      </c>
      <c r="K22" s="105"/>
      <c r="L22" s="167">
        <v>0</v>
      </c>
      <c r="M22" s="167">
        <v>0</v>
      </c>
      <c r="N22" s="167">
        <v>0</v>
      </c>
      <c r="O22" s="105"/>
      <c r="P22" s="167">
        <v>0</v>
      </c>
      <c r="Q22" s="167">
        <v>0</v>
      </c>
      <c r="R22" s="167">
        <v>0</v>
      </c>
      <c r="S22" s="105"/>
      <c r="T22" s="108"/>
      <c r="U22" s="105"/>
      <c r="Y22" s="105">
        <f>SUM(V22:X22)*-1</f>
        <v>0</v>
      </c>
      <c r="Z22" s="167">
        <v>0</v>
      </c>
      <c r="AA22" s="167">
        <v>0</v>
      </c>
      <c r="AB22" s="167">
        <v>0</v>
      </c>
      <c r="AC22" s="105">
        <f>SUM(Z22:AB22)*-1</f>
        <v>0</v>
      </c>
      <c r="AD22" s="167">
        <v>0</v>
      </c>
      <c r="AE22" s="167">
        <v>0</v>
      </c>
      <c r="AF22" s="167">
        <v>0</v>
      </c>
      <c r="AG22" s="105">
        <f>SUM(AD22:AF22)*-1</f>
        <v>0</v>
      </c>
      <c r="AH22" s="108">
        <f>AG22+AC22+Y22</f>
        <v>0</v>
      </c>
      <c r="AI22" s="105"/>
      <c r="BD22" s="198">
        <f>762057669/1000000</f>
        <v>762.057669</v>
      </c>
      <c r="BE22" s="198"/>
      <c r="BF22" s="198">
        <f>4246964908/1000000</f>
        <v>4246.964908</v>
      </c>
      <c r="BG22" s="198">
        <f t="shared" si="0"/>
        <v>91880.15833014999</v>
      </c>
      <c r="BH22" s="198">
        <f>2881976787/1000000</f>
        <v>2881.976787</v>
      </c>
      <c r="BI22" s="198">
        <f>858600630.69/1000000</f>
        <v>858.60063069</v>
      </c>
      <c r="BJ22" s="198">
        <f>139967757984.98/1000000</f>
        <v>139967.75798498</v>
      </c>
      <c r="BK22" s="198">
        <f>(2881976787+1365031562.69+162209460940.98)/1000000</f>
        <v>166456.46929067</v>
      </c>
      <c r="BL22" s="198">
        <f>3568329876/1000000</f>
        <v>3568.329876</v>
      </c>
      <c r="BM22" s="198">
        <f>1843807978.69/1000000</f>
        <v>1843.80797869</v>
      </c>
      <c r="BN22" s="198">
        <f>208401935983.8/1000000</f>
        <v>208401.93598379998</v>
      </c>
      <c r="BO22" s="240">
        <f t="shared" si="1"/>
        <v>213814.07383848997</v>
      </c>
      <c r="BP22" s="198">
        <f>795892145/1000000</f>
        <v>795.892145</v>
      </c>
      <c r="BQ22" s="198">
        <f>2621316666/1000000</f>
        <v>2621.316666</v>
      </c>
      <c r="BR22" s="198">
        <f>7864474695.65/1000000</f>
        <v>7864.474695649999</v>
      </c>
      <c r="BS22" s="198">
        <f t="shared" si="2"/>
        <v>225095.75734513995</v>
      </c>
      <c r="BT22" s="167">
        <f>743537821/1000000</f>
        <v>743.537821</v>
      </c>
      <c r="BU22" s="167">
        <f>1194479200/1000000</f>
        <v>1194.4792</v>
      </c>
      <c r="BV22" s="167">
        <f>179637534172.78/1000000</f>
        <v>179637.53417278</v>
      </c>
      <c r="BW22" s="167">
        <f t="shared" si="3"/>
        <v>406671.30853891996</v>
      </c>
    </row>
    <row r="23" spans="1:75" s="65" customFormat="1" ht="15">
      <c r="A23" s="77"/>
      <c r="B23" s="178"/>
      <c r="C23" s="178"/>
      <c r="D23" s="178"/>
      <c r="E23" s="179"/>
      <c r="F23" s="105"/>
      <c r="G23" s="105"/>
      <c r="H23" s="105"/>
      <c r="I23" s="105"/>
      <c r="J23" s="105"/>
      <c r="K23" s="105"/>
      <c r="L23" s="167"/>
      <c r="M23" s="167"/>
      <c r="N23" s="167"/>
      <c r="O23" s="105"/>
      <c r="P23" s="167"/>
      <c r="Q23" s="167"/>
      <c r="R23" s="167"/>
      <c r="S23" s="105"/>
      <c r="T23" s="108"/>
      <c r="U23" s="105"/>
      <c r="Y23" s="105"/>
      <c r="Z23" s="167"/>
      <c r="AA23" s="167"/>
      <c r="AB23" s="167"/>
      <c r="AC23" s="105"/>
      <c r="AD23" s="167"/>
      <c r="AE23" s="167"/>
      <c r="AF23" s="167"/>
      <c r="AG23" s="105"/>
      <c r="AH23" s="108"/>
      <c r="AI23" s="105"/>
      <c r="BD23" s="198"/>
      <c r="BE23" s="198"/>
      <c r="BF23" s="198"/>
      <c r="BG23" s="198">
        <f t="shared" si="0"/>
        <v>0</v>
      </c>
      <c r="BH23" s="198"/>
      <c r="BJ23" s="198"/>
      <c r="BK23" s="198"/>
      <c r="BL23" s="198"/>
      <c r="BM23" s="198"/>
      <c r="BN23" s="198"/>
      <c r="BO23" s="240">
        <f t="shared" si="1"/>
        <v>0</v>
      </c>
      <c r="BP23" s="198"/>
      <c r="BQ23" s="198"/>
      <c r="BR23" s="198"/>
      <c r="BS23" s="198">
        <f t="shared" si="2"/>
        <v>0</v>
      </c>
      <c r="BT23" s="167"/>
      <c r="BU23" s="167"/>
      <c r="BV23" s="167"/>
      <c r="BW23" s="167">
        <f t="shared" si="3"/>
        <v>0</v>
      </c>
    </row>
    <row r="24" spans="1:75" s="65" customFormat="1" ht="15">
      <c r="A24" s="77" t="s">
        <v>16</v>
      </c>
      <c r="B24" s="178"/>
      <c r="C24" s="178"/>
      <c r="D24" s="178">
        <v>0</v>
      </c>
      <c r="E24" s="179">
        <f>B24+C24+D24</f>
        <v>0</v>
      </c>
      <c r="F24" s="105"/>
      <c r="G24" s="105"/>
      <c r="H24" s="105"/>
      <c r="I24" s="105"/>
      <c r="J24" s="105">
        <f>I24+E24</f>
        <v>0</v>
      </c>
      <c r="K24" s="105"/>
      <c r="L24" s="167">
        <v>0</v>
      </c>
      <c r="M24" s="167">
        <v>0</v>
      </c>
      <c r="N24" s="167">
        <v>0</v>
      </c>
      <c r="O24" s="105"/>
      <c r="P24" s="167">
        <v>0</v>
      </c>
      <c r="Q24" s="167">
        <v>0</v>
      </c>
      <c r="R24" s="167">
        <v>0</v>
      </c>
      <c r="S24" s="105"/>
      <c r="T24" s="108"/>
      <c r="U24" s="105"/>
      <c r="Y24" s="105">
        <f>SUM(V24:X24)*-1</f>
        <v>0</v>
      </c>
      <c r="Z24" s="167">
        <v>0</v>
      </c>
      <c r="AA24" s="167">
        <v>0</v>
      </c>
      <c r="AB24" s="167">
        <v>0</v>
      </c>
      <c r="AC24" s="105">
        <f>SUM(Z24:AB24)*-1</f>
        <v>0</v>
      </c>
      <c r="AD24" s="167">
        <v>0</v>
      </c>
      <c r="AE24" s="167">
        <v>0</v>
      </c>
      <c r="AF24" s="167">
        <v>0</v>
      </c>
      <c r="AG24" s="105">
        <f>SUM(AD24:AF24)*-1</f>
        <v>0</v>
      </c>
      <c r="AH24" s="108">
        <f>AG24+AC24+Y24</f>
        <v>0</v>
      </c>
      <c r="AI24" s="105"/>
      <c r="BD24" s="198"/>
      <c r="BE24" s="198"/>
      <c r="BF24" s="198"/>
      <c r="BG24" s="198">
        <f t="shared" si="0"/>
        <v>0</v>
      </c>
      <c r="BH24" s="198"/>
      <c r="BI24" s="198"/>
      <c r="BJ24" s="198"/>
      <c r="BK24" s="198"/>
      <c r="BL24" s="198"/>
      <c r="BM24" s="198"/>
      <c r="BN24" s="198"/>
      <c r="BO24" s="240">
        <f t="shared" si="1"/>
        <v>0</v>
      </c>
      <c r="BP24" s="198"/>
      <c r="BQ24" s="198"/>
      <c r="BR24" s="198"/>
      <c r="BS24" s="198">
        <f t="shared" si="2"/>
        <v>0</v>
      </c>
      <c r="BT24" s="167"/>
      <c r="BU24" s="167"/>
      <c r="BV24" s="167"/>
      <c r="BW24" s="167">
        <f t="shared" si="3"/>
        <v>0</v>
      </c>
    </row>
    <row r="25" spans="1:75" s="65" customFormat="1" ht="15">
      <c r="A25" s="77"/>
      <c r="B25" s="177"/>
      <c r="C25" s="178"/>
      <c r="D25" s="180"/>
      <c r="E25" s="179"/>
      <c r="F25" s="105"/>
      <c r="G25" s="105"/>
      <c r="H25" s="105"/>
      <c r="I25" s="105"/>
      <c r="J25" s="105"/>
      <c r="K25" s="105"/>
      <c r="L25" s="167"/>
      <c r="M25" s="167"/>
      <c r="N25" s="167"/>
      <c r="O25" s="105"/>
      <c r="P25" s="167"/>
      <c r="Q25" s="167"/>
      <c r="R25" s="167"/>
      <c r="S25" s="105"/>
      <c r="T25" s="108"/>
      <c r="U25" s="105"/>
      <c r="Y25" s="105"/>
      <c r="Z25" s="167"/>
      <c r="AA25" s="167"/>
      <c r="AB25" s="167"/>
      <c r="AC25" s="105"/>
      <c r="AD25" s="167"/>
      <c r="AE25" s="167"/>
      <c r="AF25" s="167"/>
      <c r="AG25" s="105"/>
      <c r="AH25" s="108"/>
      <c r="AI25" s="105"/>
      <c r="BD25" s="198"/>
      <c r="BE25" s="198"/>
      <c r="BF25" s="198"/>
      <c r="BG25" s="198">
        <f t="shared" si="0"/>
        <v>0</v>
      </c>
      <c r="BH25" s="198"/>
      <c r="BI25" s="198"/>
      <c r="BJ25" s="198"/>
      <c r="BK25" s="198"/>
      <c r="BL25" s="198"/>
      <c r="BM25" s="198"/>
      <c r="BN25" s="198"/>
      <c r="BO25" s="240">
        <f t="shared" si="1"/>
        <v>0</v>
      </c>
      <c r="BP25" s="198"/>
      <c r="BQ25" s="198"/>
      <c r="BR25" s="198"/>
      <c r="BS25" s="198">
        <f t="shared" si="2"/>
        <v>0</v>
      </c>
      <c r="BT25" s="167"/>
      <c r="BU25" s="167"/>
      <c r="BV25" s="167"/>
      <c r="BW25" s="167">
        <f t="shared" si="3"/>
        <v>0</v>
      </c>
    </row>
    <row r="26" spans="1:75" s="65" customFormat="1" ht="16.5">
      <c r="A26" s="77" t="s">
        <v>135</v>
      </c>
      <c r="B26" s="182">
        <f>54472626636.32/1000000</f>
        <v>54472.62663632</v>
      </c>
      <c r="C26" s="177">
        <f>51818895009/1000000</f>
        <v>51818.895009</v>
      </c>
      <c r="D26" s="178">
        <f>39110231751/1000000</f>
        <v>39110.231751</v>
      </c>
      <c r="E26" s="179">
        <f>B26+C26+D26</f>
        <v>145401.75339631998</v>
      </c>
      <c r="F26" s="105">
        <v>5669.77</v>
      </c>
      <c r="G26" s="105">
        <v>42819.78</v>
      </c>
      <c r="H26" s="105">
        <v>8574.31</v>
      </c>
      <c r="I26" s="105">
        <f>F26+G26+H26</f>
        <v>57063.86</v>
      </c>
      <c r="J26" s="105">
        <v>124464</v>
      </c>
      <c r="K26" s="105">
        <v>5025</v>
      </c>
      <c r="L26" s="167">
        <f>'[3]Sheet1'!$B$16+'[4]Sheet1'!$B$6</f>
        <v>-4520.8801</v>
      </c>
      <c r="M26" s="167">
        <f>'[3]Sheet1'!$C$16+'[4]Sheet1'!$C$6</f>
        <v>-4898.783</v>
      </c>
      <c r="N26" s="167">
        <f>'[3]Sheet1'!$D$16+'[4]Sheet1'!$D$6</f>
        <v>-7135.70106225</v>
      </c>
      <c r="O26" s="105">
        <v>65959</v>
      </c>
      <c r="P26" s="167">
        <f>'[3]Sheet1'!$B$17+'[4]Sheet1'!$B$6</f>
        <v>0</v>
      </c>
      <c r="Q26" s="167">
        <f>'[3]Sheet1'!$C$17+'[4]Sheet1'!$C$6</f>
        <v>-2735.5823210000003</v>
      </c>
      <c r="R26" s="167">
        <f>'[3]Sheet1'!$D$17+'[4]Sheet1'!$D$6</f>
        <v>-36</v>
      </c>
      <c r="S26" s="105">
        <v>33240</v>
      </c>
      <c r="T26" s="108">
        <f>S26+O26+K26</f>
        <v>104224</v>
      </c>
      <c r="U26" s="105">
        <f>T26+J26</f>
        <v>228688</v>
      </c>
      <c r="V26" s="173">
        <f>'[3]Sheet1'!$F$15</f>
        <v>-142.572765</v>
      </c>
      <c r="W26" s="173">
        <f>'[3]Sheet1'!$G$15</f>
        <v>0</v>
      </c>
      <c r="X26" s="173">
        <f>'[3]Sheet1'!$H$15</f>
        <v>0</v>
      </c>
      <c r="Y26" s="105">
        <f>SUM(V26:X26)*-1</f>
        <v>142.572765</v>
      </c>
      <c r="Z26" s="167">
        <f>'[3]Sheet1'!$F$16</f>
        <v>-517.2289999999999</v>
      </c>
      <c r="AA26" s="167">
        <f>'[3]Sheet1'!$G$16</f>
        <v>-28.99</v>
      </c>
      <c r="AB26" s="167">
        <f>'[3]Sheet1'!$H$16</f>
        <v>0</v>
      </c>
      <c r="AC26" s="105">
        <f>SUM(Z26:AB26)*-1</f>
        <v>546.2189999999999</v>
      </c>
      <c r="AD26" s="167">
        <f>'[3]Sheet1'!$F$17+'[4]Sheet1'!$F$6</f>
        <v>-240</v>
      </c>
      <c r="AE26" s="167">
        <f>'[3]Sheet1'!$G$17+'[4]Sheet1'!$G$6</f>
        <v>0</v>
      </c>
      <c r="AF26" s="167">
        <f>'[3]Sheet1'!$H$17+'[4]Sheet1'!$H$6</f>
        <v>0</v>
      </c>
      <c r="AG26" s="105">
        <f>SUM(AD26:AF26)*-1</f>
        <v>240</v>
      </c>
      <c r="AH26" s="108">
        <f>AG26+AC26+Y26</f>
        <v>928.7917649999999</v>
      </c>
      <c r="AI26" s="105">
        <f>AH26+T26+I26+E26</f>
        <v>307618.40516132</v>
      </c>
      <c r="BD26" s="198">
        <f>15622166907/1000000</f>
        <v>15622.166907</v>
      </c>
      <c r="BE26" s="198">
        <f>2802904729.8/1000000</f>
        <v>2802.9047298</v>
      </c>
      <c r="BF26" s="198">
        <f>499999979.31/1000000</f>
        <v>499.99997931</v>
      </c>
      <c r="BG26" s="198">
        <f t="shared" si="0"/>
        <v>164326.82501243</v>
      </c>
      <c r="BH26" s="198">
        <f>105408830120/1000000</f>
        <v>105408.83012</v>
      </c>
      <c r="BI26" s="198">
        <f>60678804403.89/1000000</f>
        <v>60678.80440389</v>
      </c>
      <c r="BJ26" s="198">
        <f>47773369956.31/1000000</f>
        <v>47773.369956309994</v>
      </c>
      <c r="BK26" s="198">
        <f>(122766878241.32+66178854110.61+48244869956.31)/1000000</f>
        <v>237190.60230824</v>
      </c>
      <c r="BL26" s="198">
        <f>140629204100/1000000</f>
        <v>140629.2041</v>
      </c>
      <c r="BM26" s="198">
        <f>85061371586.47/1000000</f>
        <v>85061.37158647</v>
      </c>
      <c r="BN26" s="198">
        <f>66804010597.31/1000000</f>
        <v>66804.01059731</v>
      </c>
      <c r="BO26" s="240">
        <f t="shared" si="1"/>
        <v>292494.58628378005</v>
      </c>
      <c r="BP26" s="198">
        <f>15465826482/1000000</f>
        <v>15465.826482</v>
      </c>
      <c r="BQ26" s="198">
        <f>4672242948.61/1000000</f>
        <v>4672.24294861</v>
      </c>
      <c r="BR26" s="198">
        <f>14293359301/1000000</f>
        <v>14293.359301</v>
      </c>
      <c r="BS26" s="198">
        <f t="shared" si="2"/>
        <v>326926.01501539006</v>
      </c>
      <c r="BT26" s="167">
        <f>18861323181/1000000</f>
        <v>18861.323181</v>
      </c>
      <c r="BU26" s="167">
        <f>29911476906.95/1000000</f>
        <v>29911.47690695</v>
      </c>
      <c r="BV26" s="167">
        <f>913900000/1000000</f>
        <v>913.9</v>
      </c>
      <c r="BW26" s="167">
        <f t="shared" si="3"/>
        <v>376612.7151033401</v>
      </c>
    </row>
    <row r="27" spans="1:75" s="65" customFormat="1" ht="15">
      <c r="A27" s="77"/>
      <c r="B27" s="177"/>
      <c r="C27" s="178"/>
      <c r="D27" s="180"/>
      <c r="E27" s="179"/>
      <c r="F27" s="105"/>
      <c r="G27" s="105"/>
      <c r="H27" s="105"/>
      <c r="I27" s="105"/>
      <c r="J27" s="105"/>
      <c r="K27" s="105"/>
      <c r="L27" s="167"/>
      <c r="M27" s="167"/>
      <c r="N27" s="167"/>
      <c r="O27" s="105"/>
      <c r="P27" s="167"/>
      <c r="Q27" s="167"/>
      <c r="R27" s="167"/>
      <c r="S27" s="105"/>
      <c r="T27" s="108"/>
      <c r="U27" s="105"/>
      <c r="Y27" s="105"/>
      <c r="Z27" s="167"/>
      <c r="AA27" s="167"/>
      <c r="AB27" s="167"/>
      <c r="AC27" s="105"/>
      <c r="AD27" s="167"/>
      <c r="AE27" s="167"/>
      <c r="AF27" s="167"/>
      <c r="AG27" s="105"/>
      <c r="AH27" s="108"/>
      <c r="AI27" s="105"/>
      <c r="BD27" s="198"/>
      <c r="BE27" s="198"/>
      <c r="BF27" s="198"/>
      <c r="BG27" s="198">
        <f t="shared" si="0"/>
        <v>0</v>
      </c>
      <c r="BH27" s="198"/>
      <c r="BI27" s="198"/>
      <c r="BJ27" s="198"/>
      <c r="BK27" s="198"/>
      <c r="BL27" s="198"/>
      <c r="BM27" s="198"/>
      <c r="BN27" s="198"/>
      <c r="BO27" s="240">
        <f t="shared" si="1"/>
        <v>0</v>
      </c>
      <c r="BP27" s="198"/>
      <c r="BQ27" s="198"/>
      <c r="BR27" s="198"/>
      <c r="BS27" s="198">
        <f t="shared" si="2"/>
        <v>0</v>
      </c>
      <c r="BT27" s="167"/>
      <c r="BU27" s="167"/>
      <c r="BV27" s="167"/>
      <c r="BW27" s="167">
        <f t="shared" si="3"/>
        <v>0</v>
      </c>
    </row>
    <row r="28" spans="1:75" s="65" customFormat="1" ht="15">
      <c r="A28" s="72" t="s">
        <v>19</v>
      </c>
      <c r="B28" s="177">
        <f>(94984116222.29+106210656947.38)/1000000</f>
        <v>201194.77316967</v>
      </c>
      <c r="C28" s="177">
        <f>(265640263566.4+47729596122.55-34117293441.24)/1000000</f>
        <v>279252.56624771</v>
      </c>
      <c r="D28" s="177">
        <f>(6629132411+6373223484)/1000000</f>
        <v>13002.355895</v>
      </c>
      <c r="E28" s="179">
        <f>B28+C28+D28</f>
        <v>493449.69531238003</v>
      </c>
      <c r="F28" s="105">
        <f>23547.89+6</f>
        <v>23553.89</v>
      </c>
      <c r="G28" s="105">
        <v>25223.68</v>
      </c>
      <c r="H28" s="105">
        <v>3141.16</v>
      </c>
      <c r="I28" s="105">
        <f>F28+G28+H28</f>
        <v>51918.729999999996</v>
      </c>
      <c r="J28" s="105">
        <v>120605</v>
      </c>
      <c r="K28" s="105">
        <v>23964</v>
      </c>
      <c r="L28" s="167">
        <f>'[3]Sheet1'!$B$4+'[4]Sheet1'!$B$4</f>
        <v>-4946.6895196899995</v>
      </c>
      <c r="M28" s="167">
        <f>'[3]Sheet1'!$C$4+'[4]Sheet1'!$C$4</f>
        <v>-2647.39034011</v>
      </c>
      <c r="N28" s="167">
        <f>'[3]Sheet1'!$D$4+'[4]Sheet1'!$D$4</f>
        <v>-15467.3738424</v>
      </c>
      <c r="O28" s="105">
        <v>32289</v>
      </c>
      <c r="P28" s="167">
        <f>'[3]Sheet1'!$B$5</f>
        <v>0</v>
      </c>
      <c r="Q28" s="167">
        <f>'[3]Sheet1'!$C$5</f>
        <v>-3965.1523100000004</v>
      </c>
      <c r="R28" s="167">
        <f>'[3]Sheet1'!$D$5</f>
        <v>-1081.482</v>
      </c>
      <c r="S28" s="105">
        <v>6521</v>
      </c>
      <c r="T28" s="108">
        <f>S28+O28+K28</f>
        <v>62774</v>
      </c>
      <c r="U28" s="105">
        <f>T28+J28</f>
        <v>183379</v>
      </c>
      <c r="V28" s="173">
        <f>'[3]Sheet1'!$F$3+'[4]Sheet1'!$F$3+'[5]Sheet1'!$F$3</f>
        <v>-21429.798043739997</v>
      </c>
      <c r="W28" s="173">
        <f>'[3]Sheet1'!$G$3+'[4]Sheet1'!$G$3+'[5]Sheet1'!$G$3</f>
        <v>-424.820159</v>
      </c>
      <c r="X28" s="173">
        <f>'[3]Sheet1'!$H$3+'[4]Sheet1'!$H$3+'[5]Sheet1'!$H$3</f>
        <v>0</v>
      </c>
      <c r="Y28" s="105">
        <f>SUM(V28:X28)*-1</f>
        <v>21854.618202739995</v>
      </c>
      <c r="Z28" s="167">
        <f>'[3]Sheet1'!$F$4+'[4]Sheet1'!$F$4</f>
        <v>-12379.16849006</v>
      </c>
      <c r="AA28" s="167">
        <f>'[3]Sheet1'!$G$4+'[4]Sheet1'!$G$4</f>
        <v>-198.646679</v>
      </c>
      <c r="AB28" s="167">
        <f>'[3]Sheet1'!$H$4+'[4]Sheet1'!$H$4</f>
        <v>0</v>
      </c>
      <c r="AC28" s="105">
        <f>SUM(Z28:AB28)*-1</f>
        <v>12577.815169059999</v>
      </c>
      <c r="AD28" s="167">
        <f>'[3]Sheet1'!$F$5</f>
        <v>-1032.083451</v>
      </c>
      <c r="AE28" s="167">
        <f>'[3]Sheet1'!$G$5</f>
        <v>0</v>
      </c>
      <c r="AF28" s="167">
        <f>'[3]Sheet1'!$H$5</f>
        <v>0</v>
      </c>
      <c r="AG28" s="105">
        <f>SUM(AD28:AF28)*-1</f>
        <v>1032.083451</v>
      </c>
      <c r="AH28" s="108">
        <f>AG28+AC28+Y28</f>
        <v>35464.5168228</v>
      </c>
      <c r="AI28" s="105">
        <f>AH28+T28+I28+E28</f>
        <v>643606.94213518</v>
      </c>
      <c r="BD28" s="199">
        <f>(27297382699+29452159050)/1000000</f>
        <v>56749.541749</v>
      </c>
      <c r="BE28" s="199">
        <f>(44958450447+35824804526-17960708028)/1000000</f>
        <v>62822.546945</v>
      </c>
      <c r="BF28" s="199">
        <f>(1000000000+284616376)/1000000</f>
        <v>1284.616376</v>
      </c>
      <c r="BG28" s="199">
        <f t="shared" si="0"/>
        <v>614306.40038238</v>
      </c>
      <c r="BH28" s="199">
        <f>(189448665795.09+200637045646.9)/1000000</f>
        <v>390085.71144199</v>
      </c>
      <c r="BI28" s="199">
        <f>(418688794066.36+113900198991.22-94527116990.14)/1000000</f>
        <v>438061.87606743997</v>
      </c>
      <c r="BJ28" s="199">
        <f>(37948875879.08+10639022869.26)/1000000</f>
        <v>48587.898748340005</v>
      </c>
      <c r="BK28" s="198">
        <f>(219533721061.09+230523673403.99+485068960241.09+140074043071.74+46451555573.08+11643792019.26-108907048653.16)/1000000</f>
        <v>1024388.69671709</v>
      </c>
      <c r="BL28" s="199">
        <f>(250367158288.09+262784034266.17)/1000000</f>
        <v>513151.19255426</v>
      </c>
      <c r="BM28" s="199">
        <f>(549104500461.3+169908948503.79-120223528666.73)/1000000</f>
        <v>598789.9202983599</v>
      </c>
      <c r="BN28" s="199">
        <f>(52503432071.87+21216123010.44)/1000000</f>
        <v>73719.55508230999</v>
      </c>
      <c r="BO28" s="240">
        <f t="shared" si="1"/>
        <v>1185660.66793493</v>
      </c>
      <c r="BP28" s="198">
        <f>(35206203852.75+30864912537.35)/1000000</f>
        <v>66071.1163901</v>
      </c>
      <c r="BQ28" s="199">
        <f>(50337365895.85+12905635466.27-13787426562.09)/1000000</f>
        <v>49455.57480003</v>
      </c>
      <c r="BR28" s="199">
        <f>(3919205750+154252250)/1000000</f>
        <v>4073.458</v>
      </c>
      <c r="BS28" s="199">
        <f t="shared" si="2"/>
        <v>1305260.8171250601</v>
      </c>
      <c r="BT28" s="167">
        <f>(26737046040+28704910749.23)/1000000</f>
        <v>55441.95678923</v>
      </c>
      <c r="BU28" s="167">
        <f>(67720271108.77+46985011785.97-8828395381.57)/1000000</f>
        <v>105876.88751316999</v>
      </c>
      <c r="BV28" s="167">
        <f>(36293112410+1292253934)/1000000</f>
        <v>37585.366344</v>
      </c>
      <c r="BW28" s="167">
        <f t="shared" si="3"/>
        <v>1504165.0277714601</v>
      </c>
    </row>
    <row r="29" spans="1:75" ht="15" hidden="1">
      <c r="A29" s="131"/>
      <c r="B29" s="130"/>
      <c r="C29" s="129"/>
      <c r="D29" s="91"/>
      <c r="E29" s="89"/>
      <c r="F29" s="150"/>
      <c r="G29" s="150"/>
      <c r="H29" s="6"/>
      <c r="I29" s="6"/>
      <c r="J29" s="6"/>
      <c r="K29" s="42"/>
      <c r="O29" s="11"/>
      <c r="P29" s="19"/>
      <c r="S29" s="11"/>
      <c r="T29" s="54"/>
      <c r="U29" s="7"/>
      <c r="V29" s="8"/>
      <c r="W29" s="8"/>
      <c r="X29" s="8"/>
      <c r="Y29" s="42"/>
      <c r="Z29" s="4"/>
      <c r="AA29" s="4"/>
      <c r="AB29" s="4"/>
      <c r="AC29" s="11"/>
      <c r="AD29" s="2"/>
      <c r="AE29" s="2"/>
      <c r="AF29" s="2"/>
      <c r="AG29" s="2"/>
      <c r="AH29" s="54"/>
      <c r="AI29" s="142"/>
      <c r="BG29" s="167">
        <f t="shared" si="0"/>
        <v>0</v>
      </c>
      <c r="BH29" s="47"/>
      <c r="BI29" s="47"/>
      <c r="BJ29" s="47"/>
      <c r="BK29" s="47"/>
      <c r="BP29" s="24"/>
      <c r="BT29" s="47"/>
      <c r="BU29" s="47"/>
      <c r="BV29" s="47"/>
      <c r="BW29" s="167">
        <f t="shared" si="3"/>
        <v>0</v>
      </c>
    </row>
    <row r="30" spans="1:75" ht="15" hidden="1">
      <c r="A30" s="86" t="s">
        <v>20</v>
      </c>
      <c r="B30" s="130"/>
      <c r="C30" s="148"/>
      <c r="D30" s="90"/>
      <c r="E30" s="89">
        <f>B30+C30+D30</f>
        <v>0</v>
      </c>
      <c r="F30" s="42"/>
      <c r="G30" s="43"/>
      <c r="H30" s="52"/>
      <c r="I30" s="44">
        <f>H30+G30+F30</f>
        <v>0</v>
      </c>
      <c r="J30" s="44"/>
      <c r="K30" s="42"/>
      <c r="O30" s="43"/>
      <c r="P30" s="19"/>
      <c r="S30" s="42"/>
      <c r="T30" s="59"/>
      <c r="U30" s="44"/>
      <c r="V30" s="44"/>
      <c r="W30" s="44"/>
      <c r="X30" s="4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BG30" s="167">
        <f t="shared" si="0"/>
        <v>0</v>
      </c>
      <c r="BH30" s="47"/>
      <c r="BI30" s="47"/>
      <c r="BJ30" s="47"/>
      <c r="BK30" s="47"/>
      <c r="BP30" s="24"/>
      <c r="BT30" s="47"/>
      <c r="BU30" s="47"/>
      <c r="BV30" s="47"/>
      <c r="BW30" s="167">
        <f t="shared" si="3"/>
        <v>0</v>
      </c>
    </row>
    <row r="31" spans="1:75" ht="15" hidden="1">
      <c r="A31" s="131"/>
      <c r="B31" s="130"/>
      <c r="C31" s="148"/>
      <c r="D31" s="90"/>
      <c r="E31" s="89"/>
      <c r="F31" s="42"/>
      <c r="G31" s="11"/>
      <c r="H31" s="8"/>
      <c r="I31" s="6"/>
      <c r="J31" s="6"/>
      <c r="K31" s="45"/>
      <c r="O31" s="12"/>
      <c r="P31" s="19"/>
      <c r="S31" s="12"/>
      <c r="T31" s="55"/>
      <c r="U31" s="6"/>
      <c r="V31" s="7"/>
      <c r="W31" s="7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BG31" s="167">
        <f t="shared" si="0"/>
        <v>0</v>
      </c>
      <c r="BH31" s="47"/>
      <c r="BI31" s="47"/>
      <c r="BJ31" s="47"/>
      <c r="BK31" s="47"/>
      <c r="BP31" s="24"/>
      <c r="BT31" s="47"/>
      <c r="BU31" s="47"/>
      <c r="BV31" s="47"/>
      <c r="BW31" s="167">
        <f t="shared" si="3"/>
        <v>0</v>
      </c>
    </row>
    <row r="32" spans="1:75" ht="27" customHeight="1" thickBot="1">
      <c r="A32" s="132" t="s">
        <v>21</v>
      </c>
      <c r="B32" s="134">
        <f>B10+B12+B14+B16+B18+B20+B26+B28+B22+B24</f>
        <v>460913.13971599005</v>
      </c>
      <c r="C32" s="133">
        <f>C10+C12+C14+C16+C18+C20+C26+C28+C22+C24</f>
        <v>424845.37056161003</v>
      </c>
      <c r="D32" s="133">
        <f>D10+D12+D14+D16+D18+D20+D26+D28+D22+D24</f>
        <v>155855.10918114998</v>
      </c>
      <c r="E32" s="132">
        <f aca="true" t="shared" si="4" ref="E32:Y32">SUM(E10:E31)</f>
        <v>1041613.6194587501</v>
      </c>
      <c r="F32" s="132">
        <f t="shared" si="4"/>
        <v>108894.22</v>
      </c>
      <c r="G32" s="132">
        <f t="shared" si="4"/>
        <v>106264.37</v>
      </c>
      <c r="H32" s="132">
        <f t="shared" si="4"/>
        <v>13708.029999999999</v>
      </c>
      <c r="I32" s="132">
        <f>SUM(I10:I31)</f>
        <v>228866.62</v>
      </c>
      <c r="J32" s="132">
        <f t="shared" si="4"/>
        <v>614616.70815815</v>
      </c>
      <c r="K32" s="132">
        <f t="shared" si="4"/>
        <v>102856</v>
      </c>
      <c r="L32" s="132" t="e">
        <f t="shared" si="4"/>
        <v>#REF!</v>
      </c>
      <c r="M32" s="132" t="e">
        <f t="shared" si="4"/>
        <v>#REF!</v>
      </c>
      <c r="N32" s="132" t="e">
        <f t="shared" si="4"/>
        <v>#REF!</v>
      </c>
      <c r="O32" s="132">
        <f t="shared" si="4"/>
        <v>152594</v>
      </c>
      <c r="P32" s="132" t="e">
        <f t="shared" si="4"/>
        <v>#REF!</v>
      </c>
      <c r="Q32" s="132" t="e">
        <f t="shared" si="4"/>
        <v>#REF!</v>
      </c>
      <c r="R32" s="132" t="e">
        <f t="shared" si="4"/>
        <v>#REF!</v>
      </c>
      <c r="S32" s="132">
        <f t="shared" si="4"/>
        <v>40525</v>
      </c>
      <c r="T32" s="132">
        <f t="shared" si="4"/>
        <v>295975</v>
      </c>
      <c r="U32" s="132">
        <f t="shared" si="4"/>
        <v>823720.572405</v>
      </c>
      <c r="V32" s="20"/>
      <c r="W32" s="20"/>
      <c r="X32" s="20"/>
      <c r="Y32" s="20" t="e">
        <f t="shared" si="4"/>
        <v>#REF!</v>
      </c>
      <c r="Z32" s="20" t="e">
        <f>SUM(Z10:Z31)</f>
        <v>#REF!</v>
      </c>
      <c r="AA32" s="20" t="e">
        <f>SUM(AA10:AA31)</f>
        <v>#REF!</v>
      </c>
      <c r="AB32" s="20" t="e">
        <f>SUM(AB10:AB31)</f>
        <v>#REF!</v>
      </c>
      <c r="AC32" s="20" t="e">
        <f>SUM(AC10:AC28)</f>
        <v>#REF!</v>
      </c>
      <c r="AD32" s="20"/>
      <c r="AE32" s="20"/>
      <c r="AF32" s="20"/>
      <c r="AG32" s="20" t="e">
        <f>SUM(AG10:AG31)</f>
        <v>#REF!</v>
      </c>
      <c r="AH32" s="20" t="e">
        <f>SUM(AH10:AH31)</f>
        <v>#REF!</v>
      </c>
      <c r="AI32" s="23" t="e">
        <f>SUM(AI10:AI31)</f>
        <v>#REF!</v>
      </c>
      <c r="BD32" s="132">
        <f>SUM(BD10:BD31)</f>
        <v>144277.450362</v>
      </c>
      <c r="BE32" s="132">
        <f>SUM(BE10:BE31)</f>
        <v>104887.22402180001</v>
      </c>
      <c r="BF32" s="132">
        <f>SUM(BF10:BF31)</f>
        <v>6031.5812633099995</v>
      </c>
      <c r="BG32" s="197">
        <f t="shared" si="0"/>
        <v>1296809.8751058602</v>
      </c>
      <c r="BH32" s="211">
        <f>BH10+BH12+BH14+BH16+BH18+BH20+BH22+BH26+BH28</f>
        <v>902039.6021119901</v>
      </c>
      <c r="BI32" s="211">
        <f>BI10+BI12+BI14+BI16+BI18+BI20+BI22+BI26+BI28</f>
        <v>655281.08109545</v>
      </c>
      <c r="BJ32" s="211">
        <f>BJ10+BJ12+BJ14+BJ16+BJ18+BJ20+BJ22+BJ26+BJ28</f>
        <v>255434.58704863</v>
      </c>
      <c r="BK32" s="211">
        <f>BK10+BK12+BK14+BK16+BK18+BK20+BK22+BK26+BK28</f>
        <v>2081825.5146643198</v>
      </c>
      <c r="BL32" s="236">
        <f>BL28+BL26+BL20+BL18+BL16+BL14+BL12+BL10+BL22</f>
        <v>1191049.98856726</v>
      </c>
      <c r="BM32" s="236">
        <f>BM28+BM26+BM20+BM18+BM16+BM14+BM12+BM10+BM22</f>
        <v>879084.7961762501</v>
      </c>
      <c r="BN32" s="236">
        <f>BN28+BN26+BN20+BN18+BN16+BN14+BN12+BN10+BN22</f>
        <v>368031.06202242</v>
      </c>
      <c r="BO32" s="241">
        <f>BO28+BO26+BO24+BO22+BO20+BO18+BO16+BO14+BO12+BO10</f>
        <v>2438165.8467659303</v>
      </c>
      <c r="BP32" s="236">
        <f aca="true" t="shared" si="5" ref="BP32:BW32">BP10+BP12+BP14+BP16+BP18+BP20+BP22+BP26+BP28</f>
        <v>145835.4359671</v>
      </c>
      <c r="BQ32" s="236">
        <f t="shared" si="5"/>
        <v>99541.85647373</v>
      </c>
      <c r="BR32" s="236">
        <f t="shared" si="5"/>
        <v>27082.471996649998</v>
      </c>
      <c r="BS32" s="236">
        <f t="shared" si="5"/>
        <v>2710625.61120341</v>
      </c>
      <c r="BT32" s="236">
        <f t="shared" si="5"/>
        <v>127405.03211122999</v>
      </c>
      <c r="BU32" s="236">
        <f t="shared" si="5"/>
        <v>231292.57286711998</v>
      </c>
      <c r="BV32" s="236">
        <f t="shared" si="5"/>
        <v>221854.87671178</v>
      </c>
      <c r="BW32" s="236">
        <f t="shared" si="5"/>
        <v>3291178.09289354</v>
      </c>
    </row>
    <row r="33" spans="1:35" s="47" customFormat="1" ht="13.5" hidden="1" thickTop="1">
      <c r="A33" s="46"/>
      <c r="B33" s="46">
        <f>report!G40</f>
        <v>460271.01857073</v>
      </c>
      <c r="C33" s="46">
        <f>report!G41</f>
        <v>311337.81547550997</v>
      </c>
      <c r="D33" s="46">
        <f>report!G46</f>
        <v>155855.10918115</v>
      </c>
      <c r="E33" s="46">
        <f>report!G47</f>
        <v>927463.94322739</v>
      </c>
      <c r="F33" s="46" t="e">
        <f>report!#REF!</f>
        <v>#REF!</v>
      </c>
      <c r="G33" s="46" t="e">
        <f>report!#REF!</f>
        <v>#REF!</v>
      </c>
      <c r="H33" s="46" t="e">
        <f>report!#REF!</f>
        <v>#REF!</v>
      </c>
      <c r="I33" s="3" t="e">
        <f>report!#REF!+report!#REF!+report!#REF!</f>
        <v>#REF!</v>
      </c>
      <c r="J33" s="46" t="e">
        <f>report!#REF!</f>
        <v>#REF!</v>
      </c>
      <c r="K33" s="46" t="e">
        <f>report!#REF!</f>
        <v>#REF!</v>
      </c>
      <c r="L33" s="19" t="e">
        <f>report!#REF!</f>
        <v>#REF!</v>
      </c>
      <c r="M33" s="19" t="e">
        <f>report!#REF!</f>
        <v>#REF!</v>
      </c>
      <c r="N33" s="19" t="e">
        <f>report!#REF!</f>
        <v>#REF!</v>
      </c>
      <c r="O33" s="46" t="e">
        <f>report!#REF!</f>
        <v>#REF!</v>
      </c>
      <c r="P33" s="19" t="e">
        <f>report!#REF!</f>
        <v>#REF!</v>
      </c>
      <c r="Q33" s="19" t="e">
        <f>report!#REF!</f>
        <v>#REF!</v>
      </c>
      <c r="R33" s="19" t="e">
        <f>report!#REF!</f>
        <v>#REF!</v>
      </c>
      <c r="S33" s="46" t="e">
        <f>report!#REF!</f>
        <v>#REF!</v>
      </c>
      <c r="T33" s="3" t="e">
        <f>report!#REF!+report!#REF!+report!#REF!</f>
        <v>#REF!</v>
      </c>
      <c r="U33" s="46" t="e">
        <f>report!#REF!</f>
        <v>#REF!</v>
      </c>
      <c r="V33" s="46"/>
      <c r="W33" s="46"/>
      <c r="X33" s="46"/>
      <c r="Y33" s="47" t="e">
        <f>report!#REF!</f>
        <v>#REF!</v>
      </c>
      <c r="AC33" s="47" t="e">
        <f>report!#REF!</f>
        <v>#REF!</v>
      </c>
      <c r="AG33" s="47" t="e">
        <f>report!#REF!</f>
        <v>#REF!</v>
      </c>
      <c r="AH33" s="47" t="e">
        <f>report!#REF!</f>
        <v>#REF!</v>
      </c>
      <c r="AI33" s="47" t="e">
        <f>report!#REF!</f>
        <v>#REF!</v>
      </c>
    </row>
    <row r="34" spans="1:33" ht="13.5" hidden="1" thickTop="1">
      <c r="A34" s="1"/>
      <c r="B34" s="47">
        <f>B33-B32</f>
        <v>-642.1211452600546</v>
      </c>
      <c r="C34" s="47">
        <f>C33-C32</f>
        <v>-113507.55508610007</v>
      </c>
      <c r="D34" s="3">
        <f aca="true" t="shared" si="6" ref="D34:J34">D32-D33</f>
        <v>0</v>
      </c>
      <c r="E34" s="3">
        <f t="shared" si="6"/>
        <v>114149.67623136018</v>
      </c>
      <c r="F34" s="3" t="e">
        <f t="shared" si="6"/>
        <v>#REF!</v>
      </c>
      <c r="G34" s="3" t="e">
        <f t="shared" si="6"/>
        <v>#REF!</v>
      </c>
      <c r="H34" s="3" t="e">
        <f t="shared" si="6"/>
        <v>#REF!</v>
      </c>
      <c r="I34" s="3" t="e">
        <f t="shared" si="6"/>
        <v>#REF!</v>
      </c>
      <c r="J34" s="3" t="e">
        <f t="shared" si="6"/>
        <v>#REF!</v>
      </c>
      <c r="K34" s="15" t="e">
        <f aca="true" t="shared" si="7" ref="K34:Q34">K32+K33</f>
        <v>#REF!</v>
      </c>
      <c r="L34" s="48" t="e">
        <f t="shared" si="7"/>
        <v>#REF!</v>
      </c>
      <c r="M34" s="48" t="e">
        <f t="shared" si="7"/>
        <v>#REF!</v>
      </c>
      <c r="N34" s="48" t="e">
        <f t="shared" si="7"/>
        <v>#REF!</v>
      </c>
      <c r="O34" s="3" t="e">
        <f t="shared" si="7"/>
        <v>#REF!</v>
      </c>
      <c r="P34" s="48" t="e">
        <f t="shared" si="7"/>
        <v>#REF!</v>
      </c>
      <c r="Q34" s="48" t="e">
        <f t="shared" si="7"/>
        <v>#REF!</v>
      </c>
      <c r="R34" s="48" t="e">
        <f>R33+R32</f>
        <v>#REF!</v>
      </c>
      <c r="S34" s="3" t="e">
        <f>S32-S33</f>
        <v>#REF!</v>
      </c>
      <c r="T34" s="3" t="e">
        <f>T33+T32</f>
        <v>#REF!</v>
      </c>
      <c r="U34" s="3" t="e">
        <f>U33-U32</f>
        <v>#REF!</v>
      </c>
      <c r="V34" s="3"/>
      <c r="W34" s="3"/>
      <c r="X34" s="3"/>
      <c r="Y34" s="3" t="e">
        <f>Y33-Y32</f>
        <v>#REF!</v>
      </c>
      <c r="Z34" s="3"/>
      <c r="AA34" s="3"/>
      <c r="AB34" s="3"/>
      <c r="AC34" s="3" t="e">
        <f>AC33-AC32</f>
        <v>#REF!</v>
      </c>
      <c r="AD34" s="3"/>
      <c r="AE34" s="3"/>
      <c r="AF34" s="3"/>
      <c r="AG34" s="3" t="e">
        <f>AG33-AG32</f>
        <v>#REF!</v>
      </c>
    </row>
    <row r="35" spans="4:9" ht="13.5" hidden="1" thickTop="1">
      <c r="D35" s="15">
        <f>report!G47</f>
        <v>927463.94322739</v>
      </c>
      <c r="I35" s="3">
        <f>I32+E32</f>
        <v>1270480.23945875</v>
      </c>
    </row>
    <row r="36" spans="3:4" ht="13.5" hidden="1" thickTop="1">
      <c r="C36" s="47" t="s">
        <v>23</v>
      </c>
      <c r="D36" s="3">
        <f>D35-D34</f>
        <v>927463.94322739</v>
      </c>
    </row>
    <row r="37" ht="13.5" hidden="1" thickTop="1"/>
    <row r="38" ht="13.5" hidden="1" thickTop="1">
      <c r="A38" s="1" t="s">
        <v>3</v>
      </c>
    </row>
    <row r="39" ht="12" customHeight="1" hidden="1">
      <c r="A39" t="s">
        <v>5</v>
      </c>
    </row>
    <row r="40" ht="13.5" hidden="1" thickTop="1">
      <c r="A40" t="s">
        <v>6</v>
      </c>
    </row>
    <row r="41" ht="13.5" hidden="1" thickTop="1">
      <c r="A41" t="s">
        <v>8</v>
      </c>
    </row>
    <row r="42" ht="13.5" hidden="1" thickTop="1">
      <c r="A42" t="s">
        <v>9</v>
      </c>
    </row>
    <row r="43" ht="13.5" hidden="1" thickTop="1">
      <c r="A43" t="s">
        <v>11</v>
      </c>
    </row>
    <row r="44" ht="13.5" hidden="1" thickTop="1">
      <c r="A44" t="s">
        <v>12</v>
      </c>
    </row>
    <row r="45" ht="13.5" hidden="1" thickTop="1"/>
    <row r="46" ht="13.5" hidden="1" thickTop="1">
      <c r="A46" t="s">
        <v>13</v>
      </c>
    </row>
    <row r="47" ht="13.5" hidden="1" thickTop="1">
      <c r="A47" t="s">
        <v>6</v>
      </c>
    </row>
    <row r="48" ht="13.5" hidden="1" thickTop="1">
      <c r="A48" t="s">
        <v>8</v>
      </c>
    </row>
    <row r="49" ht="13.5" hidden="1" thickTop="1">
      <c r="A49" t="s">
        <v>9</v>
      </c>
    </row>
    <row r="50" ht="13.5" hidden="1" thickTop="1">
      <c r="A50" t="s">
        <v>11</v>
      </c>
    </row>
    <row r="51" ht="13.5" hidden="1" thickTop="1">
      <c r="A51" t="s">
        <v>12</v>
      </c>
    </row>
    <row r="52" ht="12" customHeight="1" hidden="1"/>
    <row r="53" ht="13.5" hidden="1" thickTop="1">
      <c r="A53" s="1" t="s">
        <v>17</v>
      </c>
    </row>
    <row r="54" ht="13.5" hidden="1" thickTop="1"/>
    <row r="55" ht="13.5" hidden="1" thickTop="1">
      <c r="A55" t="s">
        <v>18</v>
      </c>
    </row>
    <row r="56" ht="13.5" hidden="1" thickTop="1">
      <c r="A56" t="s">
        <v>6</v>
      </c>
    </row>
    <row r="57" ht="13.5" hidden="1" thickTop="1">
      <c r="A57" t="s">
        <v>8</v>
      </c>
    </row>
    <row r="58" ht="13.5" hidden="1" thickTop="1">
      <c r="A58" t="s">
        <v>9</v>
      </c>
    </row>
    <row r="59" ht="13.5" hidden="1" thickTop="1">
      <c r="A59" t="s">
        <v>11</v>
      </c>
    </row>
    <row r="60" ht="13.5" hidden="1" thickTop="1">
      <c r="A60" t="s">
        <v>12</v>
      </c>
    </row>
    <row r="61" ht="13.5" hidden="1" thickTop="1"/>
    <row r="62" ht="13.5" hidden="1" thickTop="1">
      <c r="A62" t="s">
        <v>22</v>
      </c>
    </row>
    <row r="63" ht="13.5" hidden="1" thickTop="1">
      <c r="A63" t="s">
        <v>6</v>
      </c>
    </row>
    <row r="64" ht="13.5" hidden="1" thickTop="1">
      <c r="A64" t="s">
        <v>8</v>
      </c>
    </row>
    <row r="65" ht="2.25" customHeight="1" hidden="1">
      <c r="A65" t="s">
        <v>9</v>
      </c>
    </row>
    <row r="66" ht="13.5" hidden="1" thickTop="1">
      <c r="A66" t="s">
        <v>11</v>
      </c>
    </row>
    <row r="67" ht="13.5" hidden="1" thickTop="1">
      <c r="A67" t="s">
        <v>12</v>
      </c>
    </row>
    <row r="68" ht="13.5" hidden="1" thickTop="1"/>
    <row r="69" ht="13.5" hidden="1" thickTop="1">
      <c r="A69" t="s">
        <v>24</v>
      </c>
    </row>
    <row r="70" ht="13.5" hidden="1" thickTop="1">
      <c r="A70" t="s">
        <v>6</v>
      </c>
    </row>
    <row r="71" ht="13.5" hidden="1" thickTop="1">
      <c r="A71" t="s">
        <v>8</v>
      </c>
    </row>
    <row r="72" ht="13.5" hidden="1" thickTop="1">
      <c r="A72" t="s">
        <v>9</v>
      </c>
    </row>
    <row r="73" ht="13.5" hidden="1" thickTop="1">
      <c r="A73" t="s">
        <v>11</v>
      </c>
    </row>
    <row r="74" ht="13.5" hidden="1" thickTop="1">
      <c r="A74" t="s">
        <v>12</v>
      </c>
    </row>
    <row r="75" ht="13.5" hidden="1" thickTop="1"/>
    <row r="76" ht="13.5" hidden="1" thickTop="1">
      <c r="A76" s="1" t="s">
        <v>25</v>
      </c>
    </row>
    <row r="77" ht="13.5" hidden="1" thickTop="1"/>
    <row r="78" ht="13.5" hidden="1" thickTop="1">
      <c r="A78" s="1" t="s">
        <v>26</v>
      </c>
    </row>
    <row r="79" spans="1:35" ht="2.25" customHeight="1" hidden="1" thickTop="1">
      <c r="A79" s="3"/>
      <c r="C79" s="47">
        <f aca="true" t="shared" si="8" ref="C79:I79">C33-C32</f>
        <v>-113507.55508610007</v>
      </c>
      <c r="D79" s="3">
        <f t="shared" si="8"/>
        <v>0</v>
      </c>
      <c r="E79" s="3">
        <f t="shared" si="8"/>
        <v>-114149.67623136018</v>
      </c>
      <c r="F79" s="3" t="e">
        <f t="shared" si="8"/>
        <v>#REF!</v>
      </c>
      <c r="G79" s="3" t="e">
        <f t="shared" si="8"/>
        <v>#REF!</v>
      </c>
      <c r="H79" s="3" t="e">
        <f t="shared" si="8"/>
        <v>#REF!</v>
      </c>
      <c r="I79" s="3" t="e">
        <f t="shared" si="8"/>
        <v>#REF!</v>
      </c>
      <c r="J79" s="3" t="e">
        <f>J33-J32</f>
        <v>#REF!</v>
      </c>
      <c r="K79" s="3" t="e">
        <f aca="true" t="shared" si="9" ref="K79:AI79">K33-K32</f>
        <v>#REF!</v>
      </c>
      <c r="L79" s="3" t="e">
        <f t="shared" si="9"/>
        <v>#REF!</v>
      </c>
      <c r="M79" s="3" t="e">
        <f t="shared" si="9"/>
        <v>#REF!</v>
      </c>
      <c r="N79" s="3" t="e">
        <f t="shared" si="9"/>
        <v>#REF!</v>
      </c>
      <c r="O79" s="3" t="e">
        <f t="shared" si="9"/>
        <v>#REF!</v>
      </c>
      <c r="P79" s="3" t="e">
        <f t="shared" si="9"/>
        <v>#REF!</v>
      </c>
      <c r="Q79" s="3" t="e">
        <f t="shared" si="9"/>
        <v>#REF!</v>
      </c>
      <c r="R79" s="3" t="e">
        <f t="shared" si="9"/>
        <v>#REF!</v>
      </c>
      <c r="S79" s="3" t="e">
        <f t="shared" si="9"/>
        <v>#REF!</v>
      </c>
      <c r="T79" s="3" t="e">
        <f t="shared" si="9"/>
        <v>#REF!</v>
      </c>
      <c r="U79" s="3" t="e">
        <f t="shared" si="9"/>
        <v>#REF!</v>
      </c>
      <c r="V79" s="3"/>
      <c r="W79" s="3"/>
      <c r="X79" s="3"/>
      <c r="Y79" s="3" t="e">
        <f t="shared" si="9"/>
        <v>#REF!</v>
      </c>
      <c r="Z79" s="3"/>
      <c r="AA79" s="3"/>
      <c r="AB79" s="3"/>
      <c r="AC79" s="3" t="e">
        <f t="shared" si="9"/>
        <v>#REF!</v>
      </c>
      <c r="AD79" s="3"/>
      <c r="AE79" s="3"/>
      <c r="AF79" s="3"/>
      <c r="AG79" s="3" t="e">
        <f t="shared" si="9"/>
        <v>#REF!</v>
      </c>
      <c r="AH79" s="3" t="e">
        <f t="shared" si="9"/>
        <v>#REF!</v>
      </c>
      <c r="AI79" s="3" t="e">
        <f t="shared" si="9"/>
        <v>#REF!</v>
      </c>
    </row>
    <row r="80" spans="3:19" ht="15.75" thickTop="1">
      <c r="C80" s="16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ht="15">
      <c r="C81" s="163"/>
    </row>
    <row r="82" spans="1:9" ht="18">
      <c r="A82" s="135" t="s">
        <v>109</v>
      </c>
      <c r="E82" s="3"/>
      <c r="I82" s="3"/>
    </row>
    <row r="83" spans="37:43" ht="18">
      <c r="AK83" s="135"/>
      <c r="AL83" s="135"/>
      <c r="AM83" s="135"/>
      <c r="AN83" s="135"/>
      <c r="AP83" s="135"/>
      <c r="AQ83" s="135"/>
    </row>
    <row r="84" spans="1:35" ht="18">
      <c r="A84" s="139" t="s">
        <v>126</v>
      </c>
      <c r="B84" s="149"/>
      <c r="D84" s="157"/>
      <c r="I84" s="136"/>
      <c r="J84" s="139"/>
      <c r="K84" s="139" t="s">
        <v>127</v>
      </c>
      <c r="L84" s="135"/>
      <c r="M84" s="135"/>
      <c r="N84" s="135"/>
      <c r="P84" s="135"/>
      <c r="Q84" s="135"/>
      <c r="R84" s="135"/>
      <c r="S84" s="260"/>
      <c r="T84" s="260"/>
      <c r="U84" s="260"/>
      <c r="V84" s="140"/>
      <c r="W84" s="140"/>
      <c r="X84" s="140"/>
      <c r="Y84" s="135"/>
      <c r="Z84" s="135"/>
      <c r="AA84" s="135"/>
      <c r="AB84" s="135"/>
      <c r="AC84" s="136"/>
      <c r="AD84" s="136"/>
      <c r="AE84" s="136"/>
      <c r="AF84" s="136"/>
      <c r="AG84" s="135"/>
      <c r="AH84" s="135"/>
      <c r="AI84" s="136"/>
    </row>
    <row r="85" spans="1:35" ht="18">
      <c r="A85" s="139" t="s">
        <v>129</v>
      </c>
      <c r="B85" s="149"/>
      <c r="D85" s="139"/>
      <c r="I85" s="136"/>
      <c r="J85" s="139"/>
      <c r="K85" s="139" t="s">
        <v>110</v>
      </c>
      <c r="L85" s="135"/>
      <c r="M85" s="135"/>
      <c r="N85" s="135"/>
      <c r="P85" s="135"/>
      <c r="Q85" s="135"/>
      <c r="R85" s="135"/>
      <c r="S85" s="260"/>
      <c r="T85" s="260"/>
      <c r="U85" s="260"/>
      <c r="V85" s="140"/>
      <c r="W85" s="140"/>
      <c r="X85" s="140"/>
      <c r="Y85" s="135"/>
      <c r="Z85" s="135"/>
      <c r="AA85" s="135"/>
      <c r="AB85" s="135"/>
      <c r="AC85" s="136"/>
      <c r="AD85" s="136"/>
      <c r="AE85" s="136"/>
      <c r="AF85" s="136"/>
      <c r="AG85" s="135"/>
      <c r="AH85" s="135"/>
      <c r="AI85" s="136"/>
    </row>
  </sheetData>
  <sheetProtection password="F4C8" sheet="1" formatCells="0" formatColumns="0" formatRows="0" insertColumns="0" insertRows="0" insertHyperlinks="0" deleteColumns="0" deleteRows="0" sort="0" autoFilter="0" pivotTables="0"/>
  <mergeCells count="6">
    <mergeCell ref="BP4:BR4"/>
    <mergeCell ref="BL4:BN4"/>
    <mergeCell ref="S85:U85"/>
    <mergeCell ref="S84:U84"/>
    <mergeCell ref="BD4:BF4"/>
    <mergeCell ref="BH4:BJ4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U132"/>
  <sheetViews>
    <sheetView tabSelected="1" zoomScale="75" zoomScaleNormal="75" zoomScalePageLayoutView="0" workbookViewId="0" topLeftCell="A1">
      <pane xSplit="1" ySplit="11" topLeftCell="B5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5" sqref="T5"/>
    </sheetView>
  </sheetViews>
  <sheetFormatPr defaultColWidth="9.140625" defaultRowHeight="12.75"/>
  <cols>
    <col min="1" max="1" width="55.421875" style="28" customWidth="1"/>
    <col min="2" max="2" width="21.8515625" style="0" customWidth="1"/>
    <col min="3" max="3" width="12.140625" style="0" hidden="1" customWidth="1"/>
    <col min="4" max="4" width="34.8515625" style="0" hidden="1" customWidth="1"/>
    <col min="5" max="5" width="11.421875" style="0" hidden="1" customWidth="1"/>
    <col min="6" max="6" width="18.00390625" style="0" hidden="1" customWidth="1"/>
    <col min="7" max="7" width="14.00390625" style="13" hidden="1" customWidth="1"/>
    <col min="8" max="8" width="11.00390625" style="0" hidden="1" customWidth="1"/>
    <col min="9" max="9" width="25.28125" style="0" hidden="1" customWidth="1"/>
    <col min="10" max="10" width="11.57421875" style="0" hidden="1" customWidth="1"/>
    <col min="11" max="11" width="11.421875" style="0" hidden="1" customWidth="1"/>
    <col min="12" max="12" width="17.8515625" style="0" hidden="1" customWidth="1"/>
    <col min="13" max="13" width="13.7109375" style="0" hidden="1" customWidth="1"/>
    <col min="14" max="14" width="18.57421875" style="0" hidden="1" customWidth="1"/>
    <col min="15" max="15" width="13.7109375" style="0" hidden="1" customWidth="1"/>
    <col min="16" max="16" width="12.57421875" style="0" hidden="1" customWidth="1"/>
    <col min="17" max="17" width="17.7109375" style="0" customWidth="1"/>
    <col min="18" max="18" width="18.140625" style="0" customWidth="1"/>
    <col min="19" max="19" width="21.7109375" style="0" customWidth="1"/>
  </cols>
  <sheetData>
    <row r="1" ht="21.75" customHeight="1">
      <c r="A1" s="152" t="s">
        <v>107</v>
      </c>
    </row>
    <row r="3" spans="1:14" ht="81.75" customHeight="1">
      <c r="A3" s="267" t="s">
        <v>162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7" ht="22.5" customHeight="1">
      <c r="A4" s="268" t="s">
        <v>112</v>
      </c>
      <c r="B4" s="268"/>
      <c r="C4" s="268"/>
      <c r="D4" s="268"/>
      <c r="E4" s="268"/>
      <c r="F4" s="268"/>
      <c r="G4" s="268"/>
    </row>
    <row r="5" spans="1:7" ht="24" customHeight="1">
      <c r="A5" s="269" t="s">
        <v>163</v>
      </c>
      <c r="B5" s="269"/>
      <c r="C5" s="65"/>
      <c r="D5" s="65"/>
      <c r="E5" s="65"/>
      <c r="F5" s="65"/>
      <c r="G5" s="152"/>
    </row>
    <row r="6" spans="1:7" ht="15" customHeight="1">
      <c r="A6" s="67"/>
      <c r="B6" s="68"/>
      <c r="C6" s="68"/>
      <c r="D6" s="68"/>
      <c r="E6" s="68"/>
      <c r="F6" s="68"/>
      <c r="G6" s="69"/>
    </row>
    <row r="7" spans="1:19" ht="56.25" customHeight="1">
      <c r="A7" s="70"/>
      <c r="B7" s="71" t="s">
        <v>108</v>
      </c>
      <c r="C7" s="183"/>
      <c r="D7" s="184"/>
      <c r="E7" s="184"/>
      <c r="F7" s="184" t="s">
        <v>140</v>
      </c>
      <c r="G7" s="183"/>
      <c r="H7" s="223"/>
      <c r="I7" s="223"/>
      <c r="J7" s="223"/>
      <c r="K7" s="223"/>
      <c r="L7" s="221"/>
      <c r="M7" s="261" t="s">
        <v>158</v>
      </c>
      <c r="N7" s="263"/>
      <c r="O7" s="263"/>
      <c r="P7" s="263"/>
      <c r="Q7" s="265" t="s">
        <v>165</v>
      </c>
      <c r="R7" s="263"/>
      <c r="S7" s="264"/>
    </row>
    <row r="8" spans="1:19" ht="51" customHeight="1">
      <c r="A8" s="72"/>
      <c r="B8" s="73" t="s">
        <v>138</v>
      </c>
      <c r="C8" s="74">
        <v>42370</v>
      </c>
      <c r="D8" s="75">
        <v>42401</v>
      </c>
      <c r="E8" s="75">
        <v>40238</v>
      </c>
      <c r="F8" s="75">
        <v>42430</v>
      </c>
      <c r="G8" s="76" t="s">
        <v>139</v>
      </c>
      <c r="H8" s="188" t="s">
        <v>142</v>
      </c>
      <c r="I8" s="189" t="s">
        <v>144</v>
      </c>
      <c r="J8" s="204">
        <v>42506</v>
      </c>
      <c r="K8" s="204">
        <v>42537</v>
      </c>
      <c r="L8" s="229" t="s">
        <v>146</v>
      </c>
      <c r="M8" s="238" t="s">
        <v>160</v>
      </c>
      <c r="N8" s="102" t="s">
        <v>149</v>
      </c>
      <c r="O8" s="238" t="s">
        <v>159</v>
      </c>
      <c r="P8" s="244" t="s">
        <v>155</v>
      </c>
      <c r="Q8" s="156" t="s">
        <v>161</v>
      </c>
      <c r="R8" s="244" t="s">
        <v>156</v>
      </c>
      <c r="S8" s="156" t="s">
        <v>164</v>
      </c>
    </row>
    <row r="9" spans="1:19" s="21" customFormat="1" ht="15.75" customHeight="1">
      <c r="A9" s="77"/>
      <c r="B9" s="153" t="s">
        <v>27</v>
      </c>
      <c r="C9" s="79" t="s">
        <v>27</v>
      </c>
      <c r="D9" s="78" t="s">
        <v>27</v>
      </c>
      <c r="E9" s="78" t="s">
        <v>27</v>
      </c>
      <c r="F9" s="78"/>
      <c r="G9" s="80" t="s">
        <v>27</v>
      </c>
      <c r="H9" s="153" t="s">
        <v>27</v>
      </c>
      <c r="I9" s="153" t="s">
        <v>27</v>
      </c>
      <c r="J9" s="153" t="s">
        <v>27</v>
      </c>
      <c r="K9" s="153" t="s">
        <v>27</v>
      </c>
      <c r="L9" s="153" t="s">
        <v>27</v>
      </c>
      <c r="M9" s="153" t="s">
        <v>27</v>
      </c>
      <c r="N9" s="153" t="s">
        <v>27</v>
      </c>
      <c r="O9" s="153" t="s">
        <v>27</v>
      </c>
      <c r="P9" s="153" t="s">
        <v>27</v>
      </c>
      <c r="Q9" s="153" t="s">
        <v>27</v>
      </c>
      <c r="R9" s="153" t="s">
        <v>27</v>
      </c>
      <c r="S9" s="153" t="s">
        <v>27</v>
      </c>
    </row>
    <row r="10" spans="1:17" ht="15.75" customHeight="1">
      <c r="A10" s="81"/>
      <c r="B10" s="82"/>
      <c r="C10" s="84"/>
      <c r="D10" s="83"/>
      <c r="E10" s="83"/>
      <c r="F10" s="83"/>
      <c r="G10" s="85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5.75" customHeight="1">
      <c r="A11" s="77"/>
      <c r="B11" s="82"/>
      <c r="C11" s="84"/>
      <c r="D11" s="83"/>
      <c r="E11" s="83"/>
      <c r="F11" s="83"/>
      <c r="G11" s="85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5.75" customHeight="1">
      <c r="A12" s="81" t="s">
        <v>28</v>
      </c>
      <c r="B12" s="77"/>
      <c r="C12" s="169"/>
      <c r="D12" s="67"/>
      <c r="E12" s="67"/>
      <c r="F12" s="67"/>
      <c r="G12" s="170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9" ht="15.75" customHeight="1">
      <c r="A13" s="88" t="s">
        <v>29</v>
      </c>
      <c r="B13" s="105">
        <v>920523</v>
      </c>
      <c r="C13" s="105">
        <f>'[9]Sheet1'!$B$3</f>
        <v>79697.93444983002</v>
      </c>
      <c r="D13" s="106">
        <f>'[11]Sheet1'!$C$3</f>
        <v>67100.43222767001</v>
      </c>
      <c r="E13" s="106">
        <f>'[1]Sheet1'!$D$3</f>
        <v>22798.711182550007</v>
      </c>
      <c r="F13" s="106">
        <f>'[13]Sheet1'!$D$3</f>
        <v>76679.13673535999</v>
      </c>
      <c r="G13" s="92">
        <f aca="true" t="shared" si="0" ref="G13:G19">C13+D13+F13</f>
        <v>223477.50341286</v>
      </c>
      <c r="H13" s="191">
        <f>'[15]Sheet1'!$F$3</f>
        <v>85656.91271196002</v>
      </c>
      <c r="I13" s="193">
        <f>G13+H13</f>
        <v>309134.41612482</v>
      </c>
      <c r="J13" s="191">
        <f>'[21]Sheet1'!$G$3</f>
        <v>90436.49142842999</v>
      </c>
      <c r="K13" s="191">
        <f>'[21]Sheet1'!$H$3</f>
        <v>100713.08749449998</v>
      </c>
      <c r="L13" s="193">
        <f>G13+H13+J13+K13</f>
        <v>500283.99504774995</v>
      </c>
      <c r="M13" s="191">
        <f>'[17]Sheet1'!$C$3</f>
        <v>263507.7094751301</v>
      </c>
      <c r="N13" s="193">
        <f>L13+M13</f>
        <v>763791.70452288</v>
      </c>
      <c r="O13" s="191">
        <f>'[22]Sheet1'!$D$3</f>
        <v>85729.95156113995</v>
      </c>
      <c r="P13" s="191">
        <f>'[22]Sheet1'!$E$3</f>
        <v>78386.79789723</v>
      </c>
      <c r="Q13" s="191">
        <f>L13+M13+O13+P13</f>
        <v>927908.45398125</v>
      </c>
      <c r="R13" s="186">
        <f>'[22]Sheet1'!$G$3</f>
        <v>67323.97040209001</v>
      </c>
      <c r="S13" s="186">
        <f>Q13+R13</f>
        <v>995232.4243833399</v>
      </c>
    </row>
    <row r="14" spans="1:19" ht="15.75" customHeight="1">
      <c r="A14" s="88" t="s">
        <v>30</v>
      </c>
      <c r="B14" s="105">
        <v>694568</v>
      </c>
      <c r="C14" s="105">
        <f>'[9]Sheet1'!$B$4</f>
        <v>38248.19090413</v>
      </c>
      <c r="D14" s="106">
        <f>'[11]Sheet1'!$C$4</f>
        <v>39205.56804616</v>
      </c>
      <c r="E14" s="106">
        <f>'[1]Sheet1'!$D$4</f>
        <v>30030.59213064001</v>
      </c>
      <c r="F14" s="106">
        <f>'[13]Sheet1'!$D$4</f>
        <v>44028.899183600006</v>
      </c>
      <c r="G14" s="92">
        <f t="shared" si="0"/>
        <v>121482.65813389001</v>
      </c>
      <c r="H14" s="191">
        <f>'[14]Sheet1'!$F$4</f>
        <v>38329.910985810006</v>
      </c>
      <c r="I14" s="193">
        <f aca="true" t="shared" si="1" ref="I14:I19">G14+H14</f>
        <v>159812.56911970003</v>
      </c>
      <c r="J14" s="191">
        <f>'[15]Sheet1'!$G$4</f>
        <v>40662.42475434</v>
      </c>
      <c r="K14" s="191">
        <f>'[15]Sheet1'!$H$4</f>
        <v>37101.78194493</v>
      </c>
      <c r="L14" s="193">
        <f aca="true" t="shared" si="2" ref="L14:L19">G14+H14+J14+K14</f>
        <v>237576.77581897003</v>
      </c>
      <c r="M14" s="191">
        <f>'[17]Sheet1'!$C$4</f>
        <v>32952.100209159995</v>
      </c>
      <c r="N14" s="193">
        <f aca="true" t="shared" si="3" ref="N14:N19">L14+M14</f>
        <v>270528.87602813</v>
      </c>
      <c r="O14" s="191">
        <f>'[20]Sheet1'!$D$4</f>
        <v>25543.445459650004</v>
      </c>
      <c r="P14" s="191">
        <f>'[22]Sheet1'!$E$4</f>
        <v>27594.093922</v>
      </c>
      <c r="Q14" s="191">
        <f aca="true" t="shared" si="4" ref="Q14:Q19">L14+M14+O14+P14</f>
        <v>323666.41540978</v>
      </c>
      <c r="R14" s="186">
        <f>'[22]Sheet1'!$G$4</f>
        <v>26016.435504180008</v>
      </c>
      <c r="S14" s="186">
        <f aca="true" t="shared" si="5" ref="S14:S20">Q14+R14</f>
        <v>349682.85091396</v>
      </c>
    </row>
    <row r="15" spans="1:19" ht="15.75" customHeight="1">
      <c r="A15" s="88" t="s">
        <v>131</v>
      </c>
      <c r="B15" s="105">
        <v>634980</v>
      </c>
      <c r="C15" s="105">
        <f>'[9]Sheet1'!$B$5</f>
        <v>54607.537163930014</v>
      </c>
      <c r="D15" s="106">
        <f>'[11]Sheet1'!$C$5</f>
        <v>53825.107856440016</v>
      </c>
      <c r="E15" s="106">
        <f>'[1]Sheet1'!$D$5</f>
        <v>16986.97667844</v>
      </c>
      <c r="F15" s="106">
        <f>'[13]Sheet1'!$D$5</f>
        <v>53184.24740503001</v>
      </c>
      <c r="G15" s="92">
        <f t="shared" si="0"/>
        <v>161616.89242540003</v>
      </c>
      <c r="H15" s="191">
        <f>'[14]Sheet1'!$F$5</f>
        <v>55279.414782809996</v>
      </c>
      <c r="I15" s="193">
        <f t="shared" si="1"/>
        <v>216896.30720821003</v>
      </c>
      <c r="J15" s="191">
        <f>'[15]Sheet1'!$G$5</f>
        <v>72679.34661534001</v>
      </c>
      <c r="K15" s="191">
        <f>'[15]Sheet1'!$H$5</f>
        <v>54903.61154511</v>
      </c>
      <c r="L15" s="193">
        <f t="shared" si="2"/>
        <v>344479.26536866004</v>
      </c>
      <c r="M15" s="191">
        <f>'[17]Sheet1'!$C$5</f>
        <v>48769.88763679001</v>
      </c>
      <c r="N15" s="193">
        <f t="shared" si="3"/>
        <v>393249.15300545003</v>
      </c>
      <c r="O15" s="191">
        <f>'[22]Sheet1'!$D$5</f>
        <v>53528.59096306</v>
      </c>
      <c r="P15" s="191">
        <f>'[22]Sheet1'!$E$5</f>
        <v>43023.96139114</v>
      </c>
      <c r="Q15" s="191">
        <f t="shared" si="4"/>
        <v>489801.70535965</v>
      </c>
      <c r="R15" s="186">
        <f>'[22]Sheet1'!$G$5</f>
        <v>45641.97139868</v>
      </c>
      <c r="S15" s="186">
        <f t="shared" si="5"/>
        <v>535443.67675833</v>
      </c>
    </row>
    <row r="16" spans="1:19" ht="15.75" customHeight="1">
      <c r="A16" s="88" t="s">
        <v>31</v>
      </c>
      <c r="B16" s="105">
        <v>76433</v>
      </c>
      <c r="C16" s="105">
        <f>'[14]Sheet1'!$B$6</f>
        <v>5050.7276584</v>
      </c>
      <c r="D16" s="106">
        <f>'[14]Sheet1'!$C$6</f>
        <v>2804.7246252299997</v>
      </c>
      <c r="E16" s="106">
        <f>'[1]Sheet1'!$D$6</f>
        <v>1935.5132241599997</v>
      </c>
      <c r="F16" s="106">
        <f>'[14]Sheet1'!$D$6</f>
        <v>1091.36672634</v>
      </c>
      <c r="G16" s="92">
        <f t="shared" si="0"/>
        <v>8946.81900997</v>
      </c>
      <c r="H16" s="191">
        <f>'[14]Sheet1'!$F$6</f>
        <v>27418.55346159</v>
      </c>
      <c r="I16" s="193">
        <f t="shared" si="1"/>
        <v>36365.37247156</v>
      </c>
      <c r="J16" s="191">
        <f>'[15]Sheet1'!$G$6</f>
        <v>19294.77875646</v>
      </c>
      <c r="K16" s="191">
        <f>'[15]Sheet1'!$H$6</f>
        <v>22957.407195879998</v>
      </c>
      <c r="L16" s="193">
        <f t="shared" si="2"/>
        <v>78617.55842389999</v>
      </c>
      <c r="M16" s="191">
        <f>'[17]Sheet1'!$C$6</f>
        <v>13371.891428939998</v>
      </c>
      <c r="N16" s="193">
        <f t="shared" si="3"/>
        <v>91989.44985283999</v>
      </c>
      <c r="O16" s="191">
        <f>'[20]Sheet1'!$D$6</f>
        <v>19354.69345748</v>
      </c>
      <c r="P16" s="191">
        <f>'[22]Sheet1'!$E$6</f>
        <v>13333.078730879999</v>
      </c>
      <c r="Q16" s="191">
        <f t="shared" si="4"/>
        <v>124677.22204119997</v>
      </c>
      <c r="R16" s="186">
        <f>'[22]Sheet1'!$G$6</f>
        <v>4543.5529268499995</v>
      </c>
      <c r="S16" s="186">
        <f t="shared" si="5"/>
        <v>129220.77496804997</v>
      </c>
    </row>
    <row r="17" spans="1:19" ht="15.75" customHeight="1">
      <c r="A17" s="88" t="s">
        <v>32</v>
      </c>
      <c r="B17" s="105"/>
      <c r="C17" s="105">
        <f>'[9]Sheet1'!$B$7</f>
        <v>3203.0941602500006</v>
      </c>
      <c r="D17" s="106">
        <f>'[11]Sheet1'!$C$7</f>
        <v>4533.28743411</v>
      </c>
      <c r="E17" s="106">
        <f>'[1]Sheet1'!$D$7</f>
        <v>291.47641450000003</v>
      </c>
      <c r="F17" s="106">
        <f>'[13]Sheet1'!$D$7</f>
        <v>9244.483947319999</v>
      </c>
      <c r="G17" s="92">
        <f t="shared" si="0"/>
        <v>16980.86554168</v>
      </c>
      <c r="H17" s="191">
        <f>'[15]Sheet1'!$F$7</f>
        <v>1656.41178911</v>
      </c>
      <c r="I17" s="193">
        <f t="shared" si="1"/>
        <v>18637.27733079</v>
      </c>
      <c r="J17" s="191">
        <f>'[15]Sheet1'!$G$7</f>
        <v>5022.136984</v>
      </c>
      <c r="K17" s="191">
        <f>'[15]Sheet1'!$H$7</f>
        <v>6333.51332541</v>
      </c>
      <c r="L17" s="193">
        <f t="shared" si="2"/>
        <v>29992.9276402</v>
      </c>
      <c r="M17" s="191">
        <f>'[17]Sheet1'!$C$7</f>
        <v>4133.67201495</v>
      </c>
      <c r="N17" s="193">
        <f t="shared" si="3"/>
        <v>34126.59965515</v>
      </c>
      <c r="O17" s="191">
        <f>'[20]Sheet1'!$D$7</f>
        <v>1720.2393795400003</v>
      </c>
      <c r="P17" s="191">
        <f>'[22]Sheet1'!$E$7</f>
        <v>4311.3677192</v>
      </c>
      <c r="Q17" s="191">
        <f t="shared" si="4"/>
        <v>40158.20675389</v>
      </c>
      <c r="R17" s="186">
        <f>'[22]Sheet1'!$G$7</f>
        <v>6530.0944024499995</v>
      </c>
      <c r="S17" s="186">
        <f t="shared" si="5"/>
        <v>46688.30115634</v>
      </c>
    </row>
    <row r="18" spans="1:19" ht="15.75" customHeight="1">
      <c r="A18" s="88" t="s">
        <v>33</v>
      </c>
      <c r="B18" s="105">
        <v>119332</v>
      </c>
      <c r="C18" s="92">
        <f>'[12]report'!$C$19</f>
        <v>6810.082305469999</v>
      </c>
      <c r="D18" s="106">
        <f>'[14]Sheet1'!$C$8</f>
        <v>20961.431786060006</v>
      </c>
      <c r="E18" s="106">
        <f>'[1]Sheet1'!$D$8</f>
        <v>11418.281986670005</v>
      </c>
      <c r="F18" s="106">
        <f>'[14]Sheet1'!$D$8</f>
        <v>9962.8036629</v>
      </c>
      <c r="G18" s="92">
        <f t="shared" si="0"/>
        <v>37734.317754430005</v>
      </c>
      <c r="H18" s="191">
        <f>'[14]Sheet1'!$F$8</f>
        <v>7572.243841930001</v>
      </c>
      <c r="I18" s="193">
        <f t="shared" si="1"/>
        <v>45306.56159636001</v>
      </c>
      <c r="J18" s="191">
        <f>'[21]Sheet1'!$G$8</f>
        <v>3436.5704878300007</v>
      </c>
      <c r="K18" s="191">
        <f>'[16]Sheet1'!$H$8</f>
        <v>7256.39748925</v>
      </c>
      <c r="L18" s="193">
        <f t="shared" si="2"/>
        <v>55999.529573440006</v>
      </c>
      <c r="M18" s="191">
        <f>'[17]Sheet1'!$C$8</f>
        <v>3342.431079609998</v>
      </c>
      <c r="N18" s="193">
        <f t="shared" si="3"/>
        <v>59341.96065305</v>
      </c>
      <c r="O18" s="191">
        <f>'[22]Sheet1'!$D$8</f>
        <v>10137.116646200004</v>
      </c>
      <c r="P18" s="191">
        <f>'[22]Sheet1'!$E$8</f>
        <v>3743.327436</v>
      </c>
      <c r="Q18" s="191">
        <f t="shared" si="4"/>
        <v>73222.40473525</v>
      </c>
      <c r="R18" s="186">
        <f>'[22]Sheet1'!$G$8</f>
        <v>5506.95274174</v>
      </c>
      <c r="S18" s="186">
        <f t="shared" si="5"/>
        <v>78729.35747699</v>
      </c>
    </row>
    <row r="19" spans="1:19" ht="15.75" customHeight="1">
      <c r="A19" s="93" t="s">
        <v>111</v>
      </c>
      <c r="B19" s="155">
        <v>113503</v>
      </c>
      <c r="C19" s="155">
        <f>'[14]Sheet1'!$B$9</f>
        <v>10476.09468174</v>
      </c>
      <c r="D19" s="106">
        <f>'[14]Sheet1'!$C$9</f>
        <v>12492.692338030003</v>
      </c>
      <c r="E19" s="106">
        <f>'[1]Sheet1'!$D$9</f>
        <v>4756.951</v>
      </c>
      <c r="F19" s="106">
        <f>'[14]Sheet1'!$D$9</f>
        <v>27087.644022020002</v>
      </c>
      <c r="G19" s="92">
        <f t="shared" si="0"/>
        <v>50056.431041790005</v>
      </c>
      <c r="H19" s="192">
        <f>'[15]Sheet1'!$F$9</f>
        <v>12192.40343108</v>
      </c>
      <c r="I19" s="194">
        <f t="shared" si="1"/>
        <v>62248.83447287</v>
      </c>
      <c r="J19" s="192">
        <f>'[15]Sheet1'!$G$9</f>
        <v>12991.66389509</v>
      </c>
      <c r="K19" s="191">
        <f>'[16]Sheet1'!$H$9</f>
        <v>5325.00476982</v>
      </c>
      <c r="L19" s="193">
        <f t="shared" si="2"/>
        <v>80565.50313778</v>
      </c>
      <c r="M19" s="192">
        <f>'[17]Sheet1'!$C$9</f>
        <v>8962.41217955</v>
      </c>
      <c r="N19" s="193">
        <f t="shared" si="3"/>
        <v>89527.91531733</v>
      </c>
      <c r="O19" s="192">
        <f>'[22]Sheet1'!$D$9</f>
        <v>4017.6461447099996</v>
      </c>
      <c r="P19" s="192">
        <f>'[22]Sheet1'!$E$9</f>
        <v>6553.447432120001</v>
      </c>
      <c r="Q19" s="192">
        <f t="shared" si="4"/>
        <v>100099.00889416</v>
      </c>
      <c r="R19" s="186">
        <f>'[22]Sheet1'!$G$9</f>
        <v>4956.28345877</v>
      </c>
      <c r="S19" s="186">
        <f t="shared" si="5"/>
        <v>105055.29235293</v>
      </c>
    </row>
    <row r="20" spans="1:19" ht="15.75" customHeight="1">
      <c r="A20" s="94" t="s">
        <v>35</v>
      </c>
      <c r="B20" s="109">
        <f aca="true" t="shared" si="6" ref="B20:R20">SUM(B13:B19)</f>
        <v>2559339</v>
      </c>
      <c r="C20" s="96">
        <f t="shared" si="6"/>
        <v>198093.66132375004</v>
      </c>
      <c r="D20" s="95">
        <f t="shared" si="6"/>
        <v>200923.24431370007</v>
      </c>
      <c r="E20" s="95">
        <f t="shared" si="6"/>
        <v>88218.50261696</v>
      </c>
      <c r="F20" s="95">
        <f t="shared" si="6"/>
        <v>221278.58168257</v>
      </c>
      <c r="G20" s="110">
        <f t="shared" si="6"/>
        <v>620295.4873200201</v>
      </c>
      <c r="H20" s="110">
        <f t="shared" si="6"/>
        <v>228105.85100429</v>
      </c>
      <c r="I20" s="110">
        <f t="shared" si="6"/>
        <v>848401.33832431</v>
      </c>
      <c r="J20" s="110">
        <f t="shared" si="6"/>
        <v>244523.41292149</v>
      </c>
      <c r="K20" s="110">
        <f t="shared" si="6"/>
        <v>234590.80376489996</v>
      </c>
      <c r="L20" s="110">
        <f t="shared" si="6"/>
        <v>1327515.5550107001</v>
      </c>
      <c r="M20" s="110">
        <f t="shared" si="6"/>
        <v>375040.1040241301</v>
      </c>
      <c r="N20" s="110">
        <f t="shared" si="6"/>
        <v>1702555.6590348303</v>
      </c>
      <c r="O20" s="110">
        <f t="shared" si="6"/>
        <v>200031.68361177994</v>
      </c>
      <c r="P20" s="110">
        <f t="shared" si="6"/>
        <v>176946.07452857</v>
      </c>
      <c r="Q20" s="206">
        <f>L20+M20+O20+P20</f>
        <v>2079533.4171751803</v>
      </c>
      <c r="R20" s="110">
        <f t="shared" si="6"/>
        <v>160519.26083476003</v>
      </c>
      <c r="S20" s="206">
        <f t="shared" si="5"/>
        <v>2240052.6780099403</v>
      </c>
    </row>
    <row r="21" spans="1:17" ht="15.75" customHeight="1">
      <c r="A21" s="70"/>
      <c r="B21" s="113"/>
      <c r="C21" s="98"/>
      <c r="D21" s="97"/>
      <c r="E21" s="97"/>
      <c r="F21" s="97"/>
      <c r="G21" s="101"/>
      <c r="H21" s="57"/>
      <c r="I21" s="57"/>
      <c r="J21" s="201"/>
      <c r="K21" s="201"/>
      <c r="L21" s="57"/>
      <c r="M21" s="57"/>
      <c r="N21" s="230"/>
      <c r="O21" s="57"/>
      <c r="P21" s="57"/>
      <c r="Q21" s="237"/>
    </row>
    <row r="22" spans="1:17" ht="15.75" customHeight="1">
      <c r="A22" s="99" t="s">
        <v>36</v>
      </c>
      <c r="B22" s="104"/>
      <c r="C22" s="98"/>
      <c r="D22" s="97"/>
      <c r="E22" s="97"/>
      <c r="F22" s="97"/>
      <c r="G22" s="101"/>
      <c r="H22" s="24"/>
      <c r="I22" s="24"/>
      <c r="J22" s="50"/>
      <c r="K22" s="50"/>
      <c r="L22" s="24"/>
      <c r="M22" s="24"/>
      <c r="N22" s="231"/>
      <c r="O22" s="24"/>
      <c r="P22" s="24"/>
      <c r="Q22" s="22"/>
    </row>
    <row r="23" spans="1:19" ht="15.75" customHeight="1">
      <c r="A23" s="100" t="s">
        <v>37</v>
      </c>
      <c r="B23" s="105">
        <v>0</v>
      </c>
      <c r="C23" s="105">
        <f>'[14]Sheet1'!$B$11</f>
        <v>1085.75701978</v>
      </c>
      <c r="D23" s="106"/>
      <c r="E23" s="106">
        <f>'[1]Sheet1'!$D$11</f>
        <v>1369.1018791099998</v>
      </c>
      <c r="F23" s="106">
        <f>'[14]Sheet1'!$D$11</f>
        <v>1763.34097443</v>
      </c>
      <c r="G23" s="92">
        <f>C23+D23+F23</f>
        <v>2849.0979942100003</v>
      </c>
      <c r="H23" s="191">
        <f>'[14]Sheet1'!$F$11</f>
        <v>2089.0432234</v>
      </c>
      <c r="I23" s="193">
        <f>H23+G23</f>
        <v>4938.14121761</v>
      </c>
      <c r="J23" s="218"/>
      <c r="K23" s="218">
        <f>'[15]Sheet1'!$H$11</f>
        <v>254.07893453</v>
      </c>
      <c r="L23" s="193">
        <f>G23+H23+J23+K23</f>
        <v>5192.22015214</v>
      </c>
      <c r="M23" s="191">
        <f>'[17]Sheet1'!$C$11</f>
        <v>1164.543318</v>
      </c>
      <c r="N23" s="193">
        <f>L23+M23</f>
        <v>6356.76347014</v>
      </c>
      <c r="O23" s="191">
        <f>'[20]Sheet1'!$D$11</f>
        <v>49.32135</v>
      </c>
      <c r="P23" s="191">
        <f>'[22]Sheet1'!$E$11</f>
        <v>1995.8221029600004</v>
      </c>
      <c r="Q23" s="216">
        <f aca="true" t="shared" si="7" ref="Q23:Q31">L23+M23+O23+P23</f>
        <v>8401.906923100001</v>
      </c>
      <c r="S23" s="186">
        <f aca="true" t="shared" si="8" ref="S23:S31">Q23+R23</f>
        <v>8401.906923100001</v>
      </c>
    </row>
    <row r="24" spans="1:19" ht="15.75" customHeight="1">
      <c r="A24" s="100" t="s">
        <v>136</v>
      </c>
      <c r="B24" s="105">
        <v>0</v>
      </c>
      <c r="C24" s="105">
        <v>0</v>
      </c>
      <c r="D24" s="106"/>
      <c r="E24" s="106"/>
      <c r="F24" s="106"/>
      <c r="G24" s="92">
        <f>C24+D24</f>
        <v>0</v>
      </c>
      <c r="H24" s="24"/>
      <c r="I24" s="24"/>
      <c r="J24" s="50"/>
      <c r="K24" s="50"/>
      <c r="L24" s="77"/>
      <c r="M24" s="77"/>
      <c r="N24" s="231"/>
      <c r="O24" s="24"/>
      <c r="P24" s="24"/>
      <c r="Q24" s="216">
        <f t="shared" si="7"/>
        <v>0</v>
      </c>
      <c r="S24" s="186">
        <f t="shared" si="8"/>
        <v>0</v>
      </c>
    </row>
    <row r="25" spans="1:19" ht="15">
      <c r="A25" s="100" t="s">
        <v>113</v>
      </c>
      <c r="B25" s="105">
        <v>418082</v>
      </c>
      <c r="C25" s="105">
        <f>'[11]Sheet1'!$B$10</f>
        <v>474.70025468</v>
      </c>
      <c r="D25" s="106">
        <f>'[8]Sheet1'!$C$11</f>
        <v>0</v>
      </c>
      <c r="E25" s="106">
        <f>'[1]Sheet1'!$D$12</f>
        <v>0</v>
      </c>
      <c r="F25" s="106"/>
      <c r="G25" s="92">
        <f>C25+D25+F25</f>
        <v>474.70025468</v>
      </c>
      <c r="H25" s="24"/>
      <c r="I25" s="193">
        <f>H25+G25</f>
        <v>474.70025468</v>
      </c>
      <c r="J25" s="50"/>
      <c r="K25" s="50"/>
      <c r="L25" s="193">
        <f>G25+H25+J25+K25</f>
        <v>474.70025468</v>
      </c>
      <c r="M25" s="191">
        <f>'[17]Sheet1'!$C$12</f>
        <v>131844.33555</v>
      </c>
      <c r="N25" s="193">
        <f>L25+M25</f>
        <v>132319.03580468</v>
      </c>
      <c r="O25" s="24"/>
      <c r="P25" s="24"/>
      <c r="Q25" s="216">
        <f t="shared" si="7"/>
        <v>132319.03580468</v>
      </c>
      <c r="S25" s="186">
        <f t="shared" si="8"/>
        <v>132319.03580468</v>
      </c>
    </row>
    <row r="26" spans="1:19" ht="15">
      <c r="A26" s="100" t="s">
        <v>134</v>
      </c>
      <c r="B26" s="108">
        <v>380000</v>
      </c>
      <c r="C26" s="105">
        <v>0</v>
      </c>
      <c r="D26" s="106">
        <f>'[1]Sheet1'!$C$13</f>
        <v>0</v>
      </c>
      <c r="E26" s="106">
        <f>'[1]Sheet1'!$C$13</f>
        <v>0</v>
      </c>
      <c r="F26" s="106"/>
      <c r="G26" s="92">
        <f>C26+D26</f>
        <v>0</v>
      </c>
      <c r="H26" s="24"/>
      <c r="I26" s="24"/>
      <c r="J26" s="50"/>
      <c r="K26" s="50"/>
      <c r="L26" s="77"/>
      <c r="M26" s="24"/>
      <c r="N26" s="231"/>
      <c r="O26" s="24"/>
      <c r="P26" s="24"/>
      <c r="Q26" s="216">
        <f t="shared" si="7"/>
        <v>0</v>
      </c>
      <c r="S26" s="186">
        <f t="shared" si="8"/>
        <v>0</v>
      </c>
    </row>
    <row r="27" spans="1:19" ht="15">
      <c r="A27" s="100" t="s">
        <v>114</v>
      </c>
      <c r="B27" s="105">
        <v>0</v>
      </c>
      <c r="C27" s="105">
        <v>0</v>
      </c>
      <c r="D27" s="106">
        <f>'[1]Sheet1'!$C$13</f>
        <v>0</v>
      </c>
      <c r="E27" s="106">
        <f>'[1]Sheet1'!$D$13</f>
        <v>64400</v>
      </c>
      <c r="F27" s="106"/>
      <c r="G27" s="92">
        <f>C27+D27</f>
        <v>0</v>
      </c>
      <c r="H27" s="24"/>
      <c r="I27" s="24"/>
      <c r="J27" s="50"/>
      <c r="K27" s="50"/>
      <c r="L27" s="77"/>
      <c r="M27" s="24"/>
      <c r="N27" s="231"/>
      <c r="O27" s="24"/>
      <c r="P27" s="24"/>
      <c r="Q27" s="216">
        <f t="shared" si="7"/>
        <v>0</v>
      </c>
      <c r="S27" s="186">
        <f t="shared" si="8"/>
        <v>0</v>
      </c>
    </row>
    <row r="28" spans="1:19" ht="15.75" customHeight="1">
      <c r="A28" s="154" t="s">
        <v>128</v>
      </c>
      <c r="B28" s="155">
        <v>0</v>
      </c>
      <c r="C28" s="155">
        <v>0</v>
      </c>
      <c r="D28" s="106">
        <f>'[1]Sheet1'!$C$13</f>
        <v>0</v>
      </c>
      <c r="E28" s="106">
        <f>'[1]Sheet1'!$D$14</f>
        <v>570</v>
      </c>
      <c r="F28" s="106"/>
      <c r="G28" s="92">
        <f>C28+D28</f>
        <v>0</v>
      </c>
      <c r="H28" s="58"/>
      <c r="I28" s="58"/>
      <c r="J28" s="202"/>
      <c r="K28" s="202"/>
      <c r="L28" s="77"/>
      <c r="M28" s="24"/>
      <c r="N28" s="189"/>
      <c r="O28" s="58"/>
      <c r="P28" s="58"/>
      <c r="Q28" s="246">
        <f t="shared" si="7"/>
        <v>0</v>
      </c>
      <c r="S28" s="186">
        <f t="shared" si="8"/>
        <v>0</v>
      </c>
    </row>
    <row r="29" spans="1:19" ht="15.75" customHeight="1">
      <c r="A29" s="94" t="s">
        <v>38</v>
      </c>
      <c r="B29" s="109">
        <f>SUM(B23:B27)</f>
        <v>798082</v>
      </c>
      <c r="C29" s="96">
        <f>SUM(C23:C27)</f>
        <v>1560.45727446</v>
      </c>
      <c r="D29" s="95">
        <f>SUM(D23:D27)</f>
        <v>0</v>
      </c>
      <c r="E29" s="95">
        <f>SUM(E23:E28)</f>
        <v>66339.10187911</v>
      </c>
      <c r="F29" s="96">
        <f>SUM(F23:F27)</f>
        <v>1763.34097443</v>
      </c>
      <c r="G29" s="110">
        <f>SUM(G23:G28)</f>
        <v>3323.79824889</v>
      </c>
      <c r="H29" s="110">
        <f>SUM(H23:H28)</f>
        <v>2089.0432234</v>
      </c>
      <c r="I29" s="207">
        <f>H29+G29</f>
        <v>5412.84147229</v>
      </c>
      <c r="J29" s="219">
        <f>J23+J25</f>
        <v>0</v>
      </c>
      <c r="K29" s="219">
        <f>K23+K25</f>
        <v>254.07893453</v>
      </c>
      <c r="L29" s="207">
        <f>G29+H29+J29+K29</f>
        <v>5666.92040682</v>
      </c>
      <c r="M29" s="206">
        <f>M23+M25</f>
        <v>133008.878868</v>
      </c>
      <c r="N29" s="193">
        <f>L29+M29</f>
        <v>138675.79927482</v>
      </c>
      <c r="O29" s="206">
        <f>O23+O25</f>
        <v>49.32135</v>
      </c>
      <c r="P29" s="206">
        <f>P23+P25</f>
        <v>1995.8221029600004</v>
      </c>
      <c r="Q29" s="206">
        <f t="shared" si="7"/>
        <v>140720.94272778</v>
      </c>
      <c r="R29" s="249">
        <f>R23+R25</f>
        <v>0</v>
      </c>
      <c r="S29" s="206">
        <f t="shared" si="8"/>
        <v>140720.94272778</v>
      </c>
    </row>
    <row r="30" spans="1:7" ht="15.75" customHeight="1">
      <c r="A30" s="94"/>
      <c r="B30" s="96"/>
      <c r="C30" s="95"/>
      <c r="D30" s="95"/>
      <c r="E30" s="95"/>
      <c r="F30" s="95"/>
      <c r="G30" s="110"/>
    </row>
    <row r="31" spans="1:19" s="1" customFormat="1" ht="15.75" customHeight="1">
      <c r="A31" s="102" t="s">
        <v>120</v>
      </c>
      <c r="B31" s="109">
        <f aca="true" t="shared" si="9" ref="B31:R31">B20+B29</f>
        <v>3357421</v>
      </c>
      <c r="C31" s="96">
        <f t="shared" si="9"/>
        <v>199654.11859821004</v>
      </c>
      <c r="D31" s="95">
        <f t="shared" si="9"/>
        <v>200923.24431370007</v>
      </c>
      <c r="E31" s="95">
        <f t="shared" si="9"/>
        <v>154557.60449607</v>
      </c>
      <c r="F31" s="95">
        <f t="shared" si="9"/>
        <v>223041.922657</v>
      </c>
      <c r="G31" s="110">
        <f t="shared" si="9"/>
        <v>623619.2855689101</v>
      </c>
      <c r="H31" s="110">
        <f t="shared" si="9"/>
        <v>230194.89422768998</v>
      </c>
      <c r="I31" s="110">
        <f t="shared" si="9"/>
        <v>853814.1797966</v>
      </c>
      <c r="J31" s="110">
        <f t="shared" si="9"/>
        <v>244523.41292149</v>
      </c>
      <c r="K31" s="110">
        <f t="shared" si="9"/>
        <v>234844.88269942996</v>
      </c>
      <c r="L31" s="110">
        <f t="shared" si="9"/>
        <v>1333182.4754175202</v>
      </c>
      <c r="M31" s="110">
        <f t="shared" si="9"/>
        <v>508048.9828921301</v>
      </c>
      <c r="N31" s="110">
        <f t="shared" si="9"/>
        <v>1841231.4583096502</v>
      </c>
      <c r="O31" s="110">
        <f t="shared" si="9"/>
        <v>200081.00496177995</v>
      </c>
      <c r="P31" s="110">
        <f t="shared" si="9"/>
        <v>178941.89663153</v>
      </c>
      <c r="Q31" s="206">
        <f t="shared" si="7"/>
        <v>2220254.3599029602</v>
      </c>
      <c r="R31" s="110">
        <f t="shared" si="9"/>
        <v>160519.26083476003</v>
      </c>
      <c r="S31" s="206">
        <f t="shared" si="8"/>
        <v>2380773.6207377203</v>
      </c>
    </row>
    <row r="32" spans="1:7" s="1" customFormat="1" ht="15.75" customHeight="1">
      <c r="A32" s="103"/>
      <c r="B32" s="97"/>
      <c r="C32" s="97"/>
      <c r="D32" s="97"/>
      <c r="E32" s="97"/>
      <c r="F32" s="97"/>
      <c r="G32" s="97"/>
    </row>
    <row r="33" spans="1:7" s="1" customFormat="1" ht="15.75" customHeight="1">
      <c r="A33" s="268" t="s">
        <v>112</v>
      </c>
      <c r="B33" s="268"/>
      <c r="C33" s="268"/>
      <c r="D33" s="268"/>
      <c r="E33" s="268"/>
      <c r="F33" s="268"/>
      <c r="G33" s="268"/>
    </row>
    <row r="34" spans="1:7" s="1" customFormat="1" ht="19.5" customHeight="1">
      <c r="A34" s="269" t="s">
        <v>163</v>
      </c>
      <c r="B34" s="269"/>
      <c r="C34" s="65"/>
      <c r="D34" s="65"/>
      <c r="E34" s="65"/>
      <c r="F34" s="65"/>
      <c r="G34" s="152"/>
    </row>
    <row r="35" spans="1:19" s="1" customFormat="1" ht="69" customHeight="1">
      <c r="A35" s="70"/>
      <c r="B35" s="71" t="s">
        <v>108</v>
      </c>
      <c r="C35" s="183"/>
      <c r="D35" s="184"/>
      <c r="E35" s="184"/>
      <c r="F35" s="184" t="s">
        <v>140</v>
      </c>
      <c r="G35" s="183"/>
      <c r="H35" s="190" t="s">
        <v>143</v>
      </c>
      <c r="I35" s="247" t="s">
        <v>143</v>
      </c>
      <c r="J35" s="247"/>
      <c r="K35" s="247"/>
      <c r="L35" s="254"/>
      <c r="M35" s="261" t="s">
        <v>158</v>
      </c>
      <c r="N35" s="263"/>
      <c r="O35" s="263"/>
      <c r="P35" s="263"/>
      <c r="Q35" s="265" t="s">
        <v>165</v>
      </c>
      <c r="R35" s="263"/>
      <c r="S35" s="264"/>
    </row>
    <row r="36" spans="1:19" s="1" customFormat="1" ht="27.75" customHeight="1">
      <c r="A36" s="72"/>
      <c r="B36" s="73" t="s">
        <v>138</v>
      </c>
      <c r="C36" s="74">
        <v>42370</v>
      </c>
      <c r="D36" s="75">
        <v>42401</v>
      </c>
      <c r="E36" s="75">
        <v>40238</v>
      </c>
      <c r="F36" s="75">
        <v>42430</v>
      </c>
      <c r="G36" s="76" t="s">
        <v>141</v>
      </c>
      <c r="H36" s="188" t="s">
        <v>142</v>
      </c>
      <c r="I36" s="189" t="s">
        <v>144</v>
      </c>
      <c r="J36" s="200">
        <v>42506</v>
      </c>
      <c r="K36" s="204">
        <v>42537</v>
      </c>
      <c r="L36" s="251" t="s">
        <v>150</v>
      </c>
      <c r="M36" s="252" t="s">
        <v>148</v>
      </c>
      <c r="N36" s="189" t="s">
        <v>149</v>
      </c>
      <c r="O36" s="252" t="s">
        <v>152</v>
      </c>
      <c r="P36" s="253" t="s">
        <v>155</v>
      </c>
      <c r="Q36" s="229" t="s">
        <v>161</v>
      </c>
      <c r="R36" s="244" t="s">
        <v>156</v>
      </c>
      <c r="S36" s="156" t="s">
        <v>164</v>
      </c>
    </row>
    <row r="37" spans="1:19" s="1" customFormat="1" ht="15.75" customHeight="1">
      <c r="A37" s="70"/>
      <c r="B37" s="153" t="s">
        <v>27</v>
      </c>
      <c r="C37" s="79" t="s">
        <v>27</v>
      </c>
      <c r="D37" s="118" t="s">
        <v>27</v>
      </c>
      <c r="E37" s="118" t="s">
        <v>27</v>
      </c>
      <c r="F37" s="118"/>
      <c r="G37" s="166" t="s">
        <v>27</v>
      </c>
      <c r="H37" s="166" t="s">
        <v>27</v>
      </c>
      <c r="I37" s="118" t="s">
        <v>27</v>
      </c>
      <c r="J37" s="118" t="s">
        <v>27</v>
      </c>
      <c r="K37" s="118" t="s">
        <v>27</v>
      </c>
      <c r="L37" s="118" t="s">
        <v>27</v>
      </c>
      <c r="M37" s="118" t="s">
        <v>27</v>
      </c>
      <c r="N37" s="118" t="s">
        <v>27</v>
      </c>
      <c r="O37" s="118" t="s">
        <v>27</v>
      </c>
      <c r="P37" s="153" t="s">
        <v>27</v>
      </c>
      <c r="Q37" s="153" t="s">
        <v>27</v>
      </c>
      <c r="R37" s="153" t="s">
        <v>27</v>
      </c>
      <c r="S37" s="153" t="s">
        <v>27</v>
      </c>
    </row>
    <row r="38" spans="1:14" ht="15.75" customHeight="1">
      <c r="A38" s="81" t="s">
        <v>39</v>
      </c>
      <c r="B38" s="104"/>
      <c r="C38" s="98"/>
      <c r="D38" s="97"/>
      <c r="E38" s="97"/>
      <c r="F38" s="97"/>
      <c r="G38" s="101"/>
      <c r="J38" s="24"/>
      <c r="K38" s="22"/>
      <c r="L38" s="21"/>
      <c r="M38" s="24"/>
      <c r="N38" s="24"/>
    </row>
    <row r="39" spans="1:14" ht="15.75" customHeight="1">
      <c r="A39" s="77"/>
      <c r="B39" s="104"/>
      <c r="C39" s="98"/>
      <c r="D39" s="97"/>
      <c r="E39" s="97"/>
      <c r="F39" s="97"/>
      <c r="G39" s="101"/>
      <c r="J39" s="24"/>
      <c r="K39" s="22"/>
      <c r="L39" s="21"/>
      <c r="M39" s="24"/>
      <c r="N39" s="24"/>
    </row>
    <row r="40" spans="1:19" ht="15.75" customHeight="1">
      <c r="A40" s="88" t="s">
        <v>40</v>
      </c>
      <c r="B40" s="104">
        <v>1650669</v>
      </c>
      <c r="C40" s="104">
        <f>'[18]Sheet1'!$B$14*-1</f>
        <v>153267.86896316003</v>
      </c>
      <c r="D40" s="97">
        <f>'[18]Sheet1'!$C$14*-1</f>
        <v>154481.89505288002</v>
      </c>
      <c r="E40" s="106">
        <f>'[1]Sheet1'!$D$16*-1</f>
        <v>33464.22031809001</v>
      </c>
      <c r="F40" s="106">
        <f>'[13]Sheet1'!$D$12*-1</f>
        <v>152521.25455469</v>
      </c>
      <c r="G40" s="101">
        <f>C40+D40+F40</f>
        <v>460271.01857073</v>
      </c>
      <c r="H40" s="186">
        <f>'[15]Sheet1'!$F$14*-1</f>
        <v>146067.52118325</v>
      </c>
      <c r="I40" s="187">
        <f>H40+G40</f>
        <v>606338.53975398</v>
      </c>
      <c r="J40" s="191">
        <f>'[21]Sheet1'!$G$14*-1</f>
        <v>143664.61863299</v>
      </c>
      <c r="K40" s="216">
        <f>'[21]Sheet1'!$H$14*-1</f>
        <v>151082.45064934</v>
      </c>
      <c r="L40" s="226">
        <f>G40+H40+J40+K40</f>
        <v>901085.6090363099</v>
      </c>
      <c r="M40" s="191">
        <f>'[19]Sheet1'!$C$14*-1</f>
        <v>142246.43241808997</v>
      </c>
      <c r="N40" s="193">
        <f>L40+M40</f>
        <v>1043332.0414543998</v>
      </c>
      <c r="O40" s="167">
        <f>'[22]Sheet1'!$D$14*-1</f>
        <v>146625.24107217998</v>
      </c>
      <c r="P40" s="167">
        <f>'[22]Sheet1'!$E$14*-1</f>
        <v>145835.4359671</v>
      </c>
      <c r="Q40" s="255">
        <f>L40+M40+O40+P40</f>
        <v>1335792.7184936798</v>
      </c>
      <c r="R40" s="256">
        <f>'[23]Sheet1'!$G$14*-1</f>
        <v>127405.03211122997</v>
      </c>
      <c r="S40" s="250">
        <f aca="true" t="shared" si="10" ref="S40:S45">Q40+R40</f>
        <v>1463197.7506049098</v>
      </c>
    </row>
    <row r="41" spans="1:19" ht="15.75" customHeight="1">
      <c r="A41" s="88" t="s">
        <v>41</v>
      </c>
      <c r="B41" s="104">
        <v>1171138</v>
      </c>
      <c r="C41" s="104">
        <f>('[21]Sheet1'!$B$15+'[21]Sheet1'!$B$16)*-1</f>
        <v>41028.577779620005</v>
      </c>
      <c r="D41" s="97">
        <f>'[21]Sheet1'!$C$15*-1</f>
        <v>145768.98115450997</v>
      </c>
      <c r="E41" s="106">
        <f>('[1]Sheet1'!$D$17+'[1]Sheet1'!$D$18+'[1]Sheet1'!$D$19)*-1</f>
        <v>60680.85201937002</v>
      </c>
      <c r="F41" s="106">
        <f>('[21]Sheet1'!$D$15+'[21]Sheet1'!$D$16)*-1</f>
        <v>124540.25654138</v>
      </c>
      <c r="G41" s="101">
        <f>C41+D41+F41</f>
        <v>311337.81547550997</v>
      </c>
      <c r="H41" s="186">
        <f>('[21]Sheet1'!$F$15+'[21]Sheet1'!$F$16)*-1</f>
        <v>109714.87173903</v>
      </c>
      <c r="I41" s="187">
        <f>H41+G41</f>
        <v>421052.68721453997</v>
      </c>
      <c r="J41" s="198">
        <f>('[21]Sheet1'!$G$15+'[21]Sheet1'!$G$16)*-1</f>
        <v>65777.71403812002</v>
      </c>
      <c r="K41" s="217">
        <f>('[21]Sheet1'!$H$15+'[21]Sheet1'!$H$16)*-1</f>
        <v>32729.722869980007</v>
      </c>
      <c r="L41" s="226">
        <f>G41+H41+J41+K41</f>
        <v>519560.12412264</v>
      </c>
      <c r="M41" s="191">
        <f>('[22]Sheet1'!$C$15+'[22]Sheet1'!$C$16)*-1</f>
        <v>100439.67111547</v>
      </c>
      <c r="N41" s="193">
        <f>L41+M41</f>
        <v>619999.79523811</v>
      </c>
      <c r="O41" s="167">
        <f>('[22]Sheet1'!$D$15+'[22]Sheet1'!$D$16)*-1</f>
        <v>107686.85159686001</v>
      </c>
      <c r="P41" s="167">
        <f>('[22]Sheet1'!$E$15+'[22]Sheet1'!$E$16)*-1</f>
        <v>98480.58147433001</v>
      </c>
      <c r="Q41" s="255">
        <f>L41+M41+O41+P41</f>
        <v>826167.2283093</v>
      </c>
      <c r="R41" s="256">
        <f>('[23]Sheet1'!$G$15+'[23]Sheet1'!$G$16)*-1</f>
        <v>231140.43186801995</v>
      </c>
      <c r="S41" s="250">
        <f t="shared" si="10"/>
        <v>1057307.66017732</v>
      </c>
    </row>
    <row r="42" spans="1:19" ht="15.75" customHeight="1">
      <c r="A42" s="88" t="s">
        <v>42</v>
      </c>
      <c r="B42" s="105">
        <v>68675</v>
      </c>
      <c r="C42" s="105">
        <v>0</v>
      </c>
      <c r="D42" s="106">
        <v>0</v>
      </c>
      <c r="E42" s="106">
        <f>'[2]Sheet1'!$D$3/1000000</f>
        <v>1262.6</v>
      </c>
      <c r="F42" s="106"/>
      <c r="G42" s="101">
        <f>C42+D42</f>
        <v>0</v>
      </c>
      <c r="I42" s="65"/>
      <c r="J42" s="24"/>
      <c r="K42" s="22"/>
      <c r="L42" s="67"/>
      <c r="M42" s="24"/>
      <c r="N42" s="24"/>
      <c r="P42" s="167"/>
      <c r="Q42" s="167">
        <v>17169</v>
      </c>
      <c r="R42" s="167">
        <v>17305</v>
      </c>
      <c r="S42" s="167">
        <f t="shared" si="10"/>
        <v>34474</v>
      </c>
    </row>
    <row r="43" spans="1:19" ht="15.75" customHeight="1">
      <c r="A43" s="107" t="s">
        <v>130</v>
      </c>
      <c r="B43" s="105">
        <v>137090</v>
      </c>
      <c r="C43" s="105">
        <f>'[6]Sheet1'!$B$15</f>
        <v>0</v>
      </c>
      <c r="D43" s="106">
        <v>0</v>
      </c>
      <c r="E43" s="106">
        <f>'[1]Sheet1'!$D$18*-1</f>
        <v>6459.118826000002</v>
      </c>
      <c r="F43" s="106"/>
      <c r="G43" s="101">
        <f>C43+D43</f>
        <v>0</v>
      </c>
      <c r="I43" s="65"/>
      <c r="J43" s="24"/>
      <c r="K43" s="22"/>
      <c r="L43" s="67"/>
      <c r="M43" s="24"/>
      <c r="N43" s="24"/>
      <c r="P43" s="167"/>
      <c r="Q43" s="167">
        <v>11920</v>
      </c>
      <c r="R43" s="167"/>
      <c r="S43" s="167">
        <f t="shared" si="10"/>
        <v>11920</v>
      </c>
    </row>
    <row r="44" spans="1:19" ht="15.75" customHeight="1">
      <c r="A44" s="107" t="s">
        <v>44</v>
      </c>
      <c r="B44" s="105">
        <v>113503</v>
      </c>
      <c r="C44" s="105">
        <v>0</v>
      </c>
      <c r="D44" s="106">
        <v>0</v>
      </c>
      <c r="E44" s="106">
        <f>'[1]Sheet1'!$D$19*-1</f>
        <v>5362.793000000001</v>
      </c>
      <c r="F44" s="106"/>
      <c r="G44" s="101">
        <f>C44+D44</f>
        <v>0</v>
      </c>
      <c r="I44" s="65"/>
      <c r="J44" s="24"/>
      <c r="K44" s="22"/>
      <c r="L44" s="67"/>
      <c r="M44" s="24"/>
      <c r="N44" s="24"/>
      <c r="P44" s="167"/>
      <c r="Q44" s="167"/>
      <c r="R44" s="167"/>
      <c r="S44" s="167">
        <f t="shared" si="10"/>
        <v>0</v>
      </c>
    </row>
    <row r="45" spans="1:19" ht="15.75" customHeight="1">
      <c r="A45" s="107" t="s">
        <v>115</v>
      </c>
      <c r="B45" s="105">
        <v>91841</v>
      </c>
      <c r="C45" s="105">
        <f>'[10]Sheet1'!$B$4</f>
        <v>0</v>
      </c>
      <c r="D45" s="106">
        <v>0</v>
      </c>
      <c r="E45" s="106">
        <f>'[2]Sheet1'!$D$4/1000000</f>
        <v>6418.653178</v>
      </c>
      <c r="F45" s="106"/>
      <c r="G45" s="92">
        <f>C45+D45</f>
        <v>0</v>
      </c>
      <c r="I45" s="65"/>
      <c r="J45" s="24"/>
      <c r="K45" s="22"/>
      <c r="L45" s="67"/>
      <c r="M45" s="24"/>
      <c r="N45" s="24"/>
      <c r="P45" s="167"/>
      <c r="Q45" s="167">
        <v>20598</v>
      </c>
      <c r="R45" s="167">
        <v>132</v>
      </c>
      <c r="S45" s="167">
        <f t="shared" si="10"/>
        <v>20730</v>
      </c>
    </row>
    <row r="46" spans="1:19" ht="15.75" customHeight="1">
      <c r="A46" s="93" t="s">
        <v>46</v>
      </c>
      <c r="B46" s="174">
        <v>613412</v>
      </c>
      <c r="C46" s="174">
        <f>'[15]Sheet1'!$B$17*-1</f>
        <v>48762.33706113</v>
      </c>
      <c r="D46" s="165">
        <f>'[14]Sheet1'!$C$17*-1</f>
        <v>98135.46886602002</v>
      </c>
      <c r="E46" s="121">
        <f>'[1]Sheet1'!$D$20*-1</f>
        <v>44059.66848955</v>
      </c>
      <c r="F46" s="121">
        <f>'[13]Sheet1'!$D$15*-1</f>
        <v>8957.303254</v>
      </c>
      <c r="G46" s="101">
        <f>C46+D46+F46</f>
        <v>155855.10918115</v>
      </c>
      <c r="H46" s="186">
        <f>'[14]Sheet1'!$F$17*-1</f>
        <v>6031.581263980001</v>
      </c>
      <c r="I46" s="187">
        <f>H46+G46</f>
        <v>161886.69044513002</v>
      </c>
      <c r="J46" s="192">
        <f>'[15]Sheet1'!$G$17*-1</f>
        <v>69293.06454223998</v>
      </c>
      <c r="K46" s="216">
        <f>'[21]Sheet1'!$H$17*-1</f>
        <v>24271.613578440003</v>
      </c>
      <c r="L46" s="226">
        <f>G46+H46+J46+K46</f>
        <v>255451.36856581</v>
      </c>
      <c r="M46" s="192">
        <f>'[22]Sheet1'!$C$17*-1</f>
        <v>34027.57568475</v>
      </c>
      <c r="N46" s="193">
        <f>L46+M46</f>
        <v>289478.94425056</v>
      </c>
      <c r="O46" s="167">
        <f>'[22]Sheet1'!$D$17*-1</f>
        <v>78552.11777186</v>
      </c>
      <c r="P46" s="167">
        <f>'[22]Sheet1'!$E$17*-1</f>
        <v>27082.47199665</v>
      </c>
      <c r="Q46" s="255">
        <f aca="true" t="shared" si="11" ref="Q46:Q66">L46+M46+O46+P46</f>
        <v>395113.53401907</v>
      </c>
      <c r="R46" s="256">
        <f>'[22]Sheet1'!$G$17*-1</f>
        <v>221854.87671177997</v>
      </c>
      <c r="S46" s="250">
        <f aca="true" t="shared" si="12" ref="S46:S61">Q46+R46</f>
        <v>616968.41073085</v>
      </c>
    </row>
    <row r="47" spans="1:19" ht="15.75" customHeight="1">
      <c r="A47" s="102" t="s">
        <v>47</v>
      </c>
      <c r="B47" s="96">
        <f aca="true" t="shared" si="13" ref="B47:R47">B40+B41+B46</f>
        <v>3435219</v>
      </c>
      <c r="C47" s="95">
        <f t="shared" si="13"/>
        <v>243058.78380391005</v>
      </c>
      <c r="D47" s="165">
        <f t="shared" si="13"/>
        <v>398386.34507341</v>
      </c>
      <c r="E47" s="95">
        <f t="shared" si="13"/>
        <v>138204.74082701004</v>
      </c>
      <c r="F47" s="95">
        <f t="shared" si="13"/>
        <v>286018.81435007</v>
      </c>
      <c r="G47" s="110">
        <f t="shared" si="13"/>
        <v>927463.94322739</v>
      </c>
      <c r="H47" s="109">
        <f t="shared" si="13"/>
        <v>261813.97418626002</v>
      </c>
      <c r="I47" s="109">
        <f t="shared" si="13"/>
        <v>1189277.91741365</v>
      </c>
      <c r="J47" s="109">
        <f t="shared" si="13"/>
        <v>278735.39721335</v>
      </c>
      <c r="K47" s="109">
        <f t="shared" si="13"/>
        <v>208083.78709776</v>
      </c>
      <c r="L47" s="109">
        <f t="shared" si="13"/>
        <v>1676097.1017247597</v>
      </c>
      <c r="M47" s="109">
        <f t="shared" si="13"/>
        <v>276713.67921831</v>
      </c>
      <c r="N47" s="109">
        <f t="shared" si="13"/>
        <v>1952810.7809430696</v>
      </c>
      <c r="O47" s="109">
        <f t="shared" si="13"/>
        <v>332864.2104409</v>
      </c>
      <c r="P47" s="109">
        <f t="shared" si="13"/>
        <v>271398.48943808</v>
      </c>
      <c r="Q47" s="242">
        <f t="shared" si="11"/>
        <v>2557073.48082205</v>
      </c>
      <c r="R47" s="110">
        <f t="shared" si="13"/>
        <v>580400.3406910299</v>
      </c>
      <c r="S47" s="206">
        <f t="shared" si="12"/>
        <v>3137473.82151308</v>
      </c>
    </row>
    <row r="48" spans="1:7" ht="15.75" customHeight="1">
      <c r="A48" s="94"/>
      <c r="B48" s="159"/>
      <c r="C48" s="111"/>
      <c r="D48" s="111"/>
      <c r="E48" s="111"/>
      <c r="F48" s="111"/>
      <c r="G48" s="158"/>
    </row>
    <row r="49" spans="1:19" ht="15.75" customHeight="1">
      <c r="A49" s="102" t="s">
        <v>117</v>
      </c>
      <c r="B49" s="109">
        <f aca="true" t="shared" si="14" ref="B49:R49">B31-B47</f>
        <v>-77798</v>
      </c>
      <c r="C49" s="95">
        <f t="shared" si="14"/>
        <v>-43404.6652057</v>
      </c>
      <c r="D49" s="95">
        <f t="shared" si="14"/>
        <v>-197463.10075970995</v>
      </c>
      <c r="E49" s="95">
        <f t="shared" si="14"/>
        <v>16352.863669059967</v>
      </c>
      <c r="F49" s="95">
        <f t="shared" si="14"/>
        <v>-62976.891693070036</v>
      </c>
      <c r="G49" s="110">
        <f t="shared" si="14"/>
        <v>-303844.6576584799</v>
      </c>
      <c r="H49" s="109">
        <f t="shared" si="14"/>
        <v>-31619.079958570044</v>
      </c>
      <c r="I49" s="109">
        <f t="shared" si="14"/>
        <v>-335463.73761705006</v>
      </c>
      <c r="J49" s="109">
        <f t="shared" si="14"/>
        <v>-34211.98429185999</v>
      </c>
      <c r="K49" s="109">
        <f t="shared" si="14"/>
        <v>26761.09560166995</v>
      </c>
      <c r="L49" s="208">
        <f>I49+J49</f>
        <v>-369675.7219089101</v>
      </c>
      <c r="M49" s="109">
        <f t="shared" si="14"/>
        <v>231335.3036738201</v>
      </c>
      <c r="N49" s="109">
        <f t="shared" si="14"/>
        <v>-111579.32263341942</v>
      </c>
      <c r="O49" s="109">
        <f t="shared" si="14"/>
        <v>-132783.20547912005</v>
      </c>
      <c r="P49" s="109">
        <f t="shared" si="14"/>
        <v>-92456.59280655</v>
      </c>
      <c r="Q49" s="109">
        <f t="shared" si="14"/>
        <v>-336819.12091908976</v>
      </c>
      <c r="R49" s="110">
        <f t="shared" si="14"/>
        <v>-419881.0798562699</v>
      </c>
      <c r="S49" s="206">
        <f t="shared" si="12"/>
        <v>-756700.2007753596</v>
      </c>
    </row>
    <row r="50" spans="1:14" ht="15.75" customHeight="1">
      <c r="A50" s="112"/>
      <c r="B50" s="113"/>
      <c r="C50" s="97"/>
      <c r="D50" s="97"/>
      <c r="E50" s="97"/>
      <c r="F50" s="97"/>
      <c r="G50" s="114"/>
      <c r="I50" s="57"/>
      <c r="J50" s="57"/>
      <c r="K50" s="57"/>
      <c r="L50" s="57"/>
      <c r="M50" s="57"/>
      <c r="N50" s="57"/>
    </row>
    <row r="51" spans="1:19" ht="15.75" customHeight="1">
      <c r="A51" s="88" t="s">
        <v>48</v>
      </c>
      <c r="B51" s="104">
        <f>B52+B53</f>
        <v>-299621</v>
      </c>
      <c r="C51" s="101">
        <f>C52+C53</f>
        <v>-9523.595510480001</v>
      </c>
      <c r="D51" s="97">
        <f>D52+D53</f>
        <v>-12469.750863899997</v>
      </c>
      <c r="E51" s="97">
        <f>E52+E53</f>
        <v>-7858.9530005100005</v>
      </c>
      <c r="F51" s="97">
        <f>F52+F53</f>
        <v>-12123.94706686</v>
      </c>
      <c r="G51" s="101">
        <f>C51+D51+F51</f>
        <v>-34117.29344124</v>
      </c>
      <c r="H51" s="186">
        <f>H52+H53</f>
        <v>-17960.70802861</v>
      </c>
      <c r="I51" s="193">
        <f>H51+G51</f>
        <v>-52078.00146985</v>
      </c>
      <c r="J51" s="205">
        <f>J52+J53</f>
        <v>-12150.32019362</v>
      </c>
      <c r="K51" s="205">
        <f>K52+K53</f>
        <v>-36617.870860330004</v>
      </c>
      <c r="L51" s="193">
        <f>G51+H51+J51+K51</f>
        <v>-100846.19252380001</v>
      </c>
      <c r="M51" s="104">
        <f>M52+M53</f>
        <v>-9759.813310559999</v>
      </c>
      <c r="N51" s="193">
        <f>L51+M51</f>
        <v>-110606.00583436001</v>
      </c>
      <c r="O51" s="104">
        <f>O52+O53</f>
        <v>-9617.56225436</v>
      </c>
      <c r="P51" s="98">
        <f>P52+P53</f>
        <v>-13787.42656209</v>
      </c>
      <c r="Q51" s="98">
        <f>Q52+Q53</f>
        <v>-134010.99465081003</v>
      </c>
      <c r="R51" s="98">
        <f>R52+R53</f>
        <v>-8828.39538157</v>
      </c>
      <c r="S51" s="98">
        <f>S52+S53</f>
        <v>-142839.39003238</v>
      </c>
    </row>
    <row r="52" spans="1:19" ht="15.75" customHeight="1">
      <c r="A52" s="115" t="s">
        <v>49</v>
      </c>
      <c r="B52" s="105">
        <v>-254202</v>
      </c>
      <c r="C52" s="92">
        <f>'[9]Sheet1'!$B$18</f>
        <v>-6286.47979517</v>
      </c>
      <c r="D52" s="106">
        <f>'[11]Sheet1'!$C$20</f>
        <v>-8382.875477439997</v>
      </c>
      <c r="E52" s="106">
        <f>'[1]Sheet1'!$D$25</f>
        <v>-4760.600532570001</v>
      </c>
      <c r="F52" s="106">
        <f>'[15]Sheet1'!$D$22</f>
        <v>-6666.646678059999</v>
      </c>
      <c r="G52" s="101">
        <f aca="true" t="shared" si="15" ref="G52:G61">C52+D52+F52</f>
        <v>-21336.001950669997</v>
      </c>
      <c r="H52" s="186">
        <f>'[14]Sheet1'!$F$22</f>
        <v>-14322.16497083</v>
      </c>
      <c r="I52" s="193">
        <f>H52+G52</f>
        <v>-35658.1669215</v>
      </c>
      <c r="J52" s="191">
        <f>'[21]Sheet1'!$G$22</f>
        <v>-9465.27734651</v>
      </c>
      <c r="K52" s="191">
        <f>'[18]Sheet1'!$H$22</f>
        <v>-23644.53308654</v>
      </c>
      <c r="L52" s="193">
        <f>G52+H52+J52+K52</f>
        <v>-68767.97735455</v>
      </c>
      <c r="M52" s="191">
        <f>'[17]Sheet1'!$C$22</f>
        <v>-8260.373001619999</v>
      </c>
      <c r="N52" s="193">
        <f>L52+M52</f>
        <v>-77028.35035617</v>
      </c>
      <c r="O52" s="186">
        <f>'[22]Sheet1'!$D$22</f>
        <v>-7281.29079399</v>
      </c>
      <c r="P52" s="186">
        <f>'[22]Sheet1'!$E$22</f>
        <v>-7814.870554849999</v>
      </c>
      <c r="Q52" s="245">
        <f t="shared" si="11"/>
        <v>-92124.51170501001</v>
      </c>
      <c r="R52" s="186">
        <f>'[22]Sheet1'!$G$22</f>
        <v>-8828.39538157</v>
      </c>
      <c r="S52" s="245">
        <f t="shared" si="12"/>
        <v>-100952.90708658</v>
      </c>
    </row>
    <row r="53" spans="1:19" ht="15.75" customHeight="1">
      <c r="A53" s="115" t="s">
        <v>50</v>
      </c>
      <c r="B53" s="105">
        <v>-45419</v>
      </c>
      <c r="C53" s="92">
        <f>'[14]Sheet1'!$B$23</f>
        <v>-3237.1157153100003</v>
      </c>
      <c r="D53" s="106">
        <f>'[11]Sheet1'!$C$21</f>
        <v>-4086.87538646</v>
      </c>
      <c r="E53" s="106">
        <f>'[1]Sheet1'!$D$26</f>
        <v>-3098.3524679399998</v>
      </c>
      <c r="F53" s="106">
        <f>'[15]Sheet1'!$D$23</f>
        <v>-5457.3003888</v>
      </c>
      <c r="G53" s="101">
        <f t="shared" si="15"/>
        <v>-12781.29149057</v>
      </c>
      <c r="H53" s="186">
        <f>'[15]Sheet1'!$F$23</f>
        <v>-3638.54305778</v>
      </c>
      <c r="I53" s="193">
        <f>H53+G53</f>
        <v>-16419.83454835</v>
      </c>
      <c r="J53" s="191">
        <f>'[21]Sheet1'!$G$23</f>
        <v>-2685.04284711</v>
      </c>
      <c r="K53" s="191">
        <f>'[18]Sheet1'!$H$23</f>
        <v>-12973.337773790001</v>
      </c>
      <c r="L53" s="193">
        <f>G53+H53+J53+K53</f>
        <v>-32078.21516925</v>
      </c>
      <c r="M53" s="191">
        <f>'[19]Sheet1'!$C$23</f>
        <v>-1499.44030894</v>
      </c>
      <c r="N53" s="193">
        <f>L53+M53</f>
        <v>-33577.65547819</v>
      </c>
      <c r="O53" s="186">
        <f>'[22]Sheet1'!$D$23</f>
        <v>-2336.27146037</v>
      </c>
      <c r="P53" s="186">
        <f>'[23]Sheet1'!$E$23</f>
        <v>-5972.55600724</v>
      </c>
      <c r="Q53" s="245">
        <f t="shared" si="11"/>
        <v>-41886.4829458</v>
      </c>
      <c r="S53" s="245">
        <f t="shared" si="12"/>
        <v>-41886.4829458</v>
      </c>
    </row>
    <row r="54" spans="1:19" ht="15.75" customHeight="1">
      <c r="A54" s="88" t="s">
        <v>51</v>
      </c>
      <c r="B54" s="104">
        <f>B56+B57+B58+B55</f>
        <v>-19629</v>
      </c>
      <c r="C54" s="101">
        <f>SUM(C55:C58)</f>
        <v>-81270.53513033</v>
      </c>
      <c r="D54" s="97">
        <f>SUM(D55:D58)</f>
        <v>-14897.245237899997</v>
      </c>
      <c r="E54" s="97">
        <f>SUM(E55:E58)</f>
        <v>-2879.4296697500004</v>
      </c>
      <c r="F54" s="97">
        <f>SUM(F55:F58)</f>
        <v>-23752.45865909</v>
      </c>
      <c r="G54" s="101">
        <f t="shared" si="15"/>
        <v>-119920.23902732</v>
      </c>
      <c r="H54" s="186">
        <f>H55+H56+H57+H58</f>
        <v>-1079.2787526099999</v>
      </c>
      <c r="I54" s="191">
        <f>I55+I56+I57+I58</f>
        <v>-120999.51777993</v>
      </c>
      <c r="J54" s="205">
        <f>J55+J56+J57+J58</f>
        <v>-3014.45830285</v>
      </c>
      <c r="K54" s="205">
        <f>K55+K56+K57+K58</f>
        <v>-28338.307289999997</v>
      </c>
      <c r="L54" s="205">
        <f>L55+L56+L57+L58</f>
        <v>-152352.28337278002</v>
      </c>
      <c r="M54" s="104">
        <f>M56+M57+M58+M55</f>
        <v>-575.188</v>
      </c>
      <c r="N54" s="193">
        <f>N58+N56</f>
        <v>-152927.47137278</v>
      </c>
      <c r="O54" s="104">
        <f>O56+O57+O58+O55</f>
        <v>0</v>
      </c>
      <c r="P54" s="98">
        <f>P56+P57+P58+P55</f>
        <v>-1061.275</v>
      </c>
      <c r="Q54" s="250">
        <f t="shared" si="11"/>
        <v>-153988.74637278</v>
      </c>
      <c r="R54" s="98">
        <f>R56+R57+R58+R55</f>
        <v>-152.141</v>
      </c>
      <c r="S54" s="250">
        <f t="shared" si="12"/>
        <v>-154140.88737278</v>
      </c>
    </row>
    <row r="55" spans="1:17" ht="15.75" customHeight="1">
      <c r="A55" s="115" t="s">
        <v>52</v>
      </c>
      <c r="B55" s="105">
        <v>-10107</v>
      </c>
      <c r="C55" s="92">
        <v>0</v>
      </c>
      <c r="D55" s="106">
        <v>0</v>
      </c>
      <c r="E55" s="106">
        <v>0</v>
      </c>
      <c r="F55" s="106"/>
      <c r="G55" s="101">
        <f aca="true" t="shared" si="16" ref="G55:G65">C55+D55</f>
        <v>0</v>
      </c>
      <c r="I55" s="77"/>
      <c r="J55" s="24"/>
      <c r="K55" s="24"/>
      <c r="L55" s="193">
        <f>I55+J55</f>
        <v>0</v>
      </c>
      <c r="M55" s="24"/>
      <c r="N55" s="24"/>
      <c r="Q55" s="250">
        <f t="shared" si="11"/>
        <v>0</v>
      </c>
    </row>
    <row r="56" spans="1:19" ht="15.75" customHeight="1">
      <c r="A56" s="115" t="s">
        <v>53</v>
      </c>
      <c r="B56" s="105">
        <v>-9522</v>
      </c>
      <c r="C56" s="92">
        <f>'[9]Sheet1'!$B$19</f>
        <v>-868.6495819999999</v>
      </c>
      <c r="D56" s="106">
        <f>'[11]Sheet1'!$C$22</f>
        <v>-186.58647900000003</v>
      </c>
      <c r="E56" s="106">
        <f>'[1]Sheet1'!$D$27</f>
        <v>-609.195333</v>
      </c>
      <c r="F56" s="106">
        <f>'[13]Sheet1'!$D$22</f>
        <v>-37.47</v>
      </c>
      <c r="G56" s="101">
        <f t="shared" si="15"/>
        <v>-1092.7060609999999</v>
      </c>
      <c r="I56" s="193">
        <f>H56+G56</f>
        <v>-1092.7060609999999</v>
      </c>
      <c r="J56" s="24"/>
      <c r="K56" s="24"/>
      <c r="L56" s="193">
        <f>G56+H56+J56+K56</f>
        <v>-1092.7060609999999</v>
      </c>
      <c r="M56" s="24"/>
      <c r="N56" s="193">
        <f>L56+M56</f>
        <v>-1092.7060609999999</v>
      </c>
      <c r="Q56" s="245">
        <f t="shared" si="11"/>
        <v>-1092.7060609999999</v>
      </c>
      <c r="S56" s="245">
        <f t="shared" si="12"/>
        <v>-1092.7060609999999</v>
      </c>
    </row>
    <row r="57" spans="1:17" ht="15.75">
      <c r="A57" s="115" t="s">
        <v>54</v>
      </c>
      <c r="B57" s="105"/>
      <c r="C57" s="92">
        <v>0</v>
      </c>
      <c r="D57" s="106">
        <v>0</v>
      </c>
      <c r="E57" s="106">
        <v>0</v>
      </c>
      <c r="F57" s="106"/>
      <c r="G57" s="101">
        <f t="shared" si="16"/>
        <v>0</v>
      </c>
      <c r="I57" s="77"/>
      <c r="J57" s="24"/>
      <c r="K57" s="24"/>
      <c r="L57" s="193">
        <f>I57+J57</f>
        <v>0</v>
      </c>
      <c r="M57" s="24"/>
      <c r="N57" s="24"/>
      <c r="Q57" s="245">
        <f t="shared" si="11"/>
        <v>0</v>
      </c>
    </row>
    <row r="58" spans="1:19" ht="15.75">
      <c r="A58" s="115" t="s">
        <v>55</v>
      </c>
      <c r="B58" s="105">
        <v>0</v>
      </c>
      <c r="C58" s="92">
        <f>'[15]Sheet1'!$B$25</f>
        <v>-80401.88554833</v>
      </c>
      <c r="D58" s="106">
        <f>'[11]Sheet1'!$C$23</f>
        <v>-14710.658758899997</v>
      </c>
      <c r="E58" s="106">
        <f>'[1]Sheet1'!$D$28</f>
        <v>-2270.2343367500002</v>
      </c>
      <c r="F58" s="106">
        <f>'[13]Sheet1'!$D$23</f>
        <v>-23714.98865909</v>
      </c>
      <c r="G58" s="101">
        <f t="shared" si="15"/>
        <v>-118827.53296632</v>
      </c>
      <c r="H58" s="186">
        <f>'[15]Sheet1'!$F$25</f>
        <v>-1079.2787526099999</v>
      </c>
      <c r="I58" s="193">
        <f>H58+G58</f>
        <v>-119906.81171893</v>
      </c>
      <c r="J58" s="191">
        <f>'[15]Sheet1'!$G$25</f>
        <v>-3014.45830285</v>
      </c>
      <c r="K58" s="191">
        <f>'[16]Sheet1'!$H$25</f>
        <v>-28338.307289999997</v>
      </c>
      <c r="L58" s="193">
        <f>G58+H58+J58+K58</f>
        <v>-151259.57731178</v>
      </c>
      <c r="M58" s="191">
        <f>'[17]Sheet1'!$C$25</f>
        <v>-575.188</v>
      </c>
      <c r="N58" s="193">
        <f>L58+M58</f>
        <v>-151834.76531178</v>
      </c>
      <c r="P58" s="186">
        <f>'[22]Sheet1'!$E$25</f>
        <v>-1061.275</v>
      </c>
      <c r="Q58" s="245">
        <f t="shared" si="11"/>
        <v>-152896.04031178</v>
      </c>
      <c r="R58" s="186">
        <f>'[22]Sheet1'!$G$25</f>
        <v>-152.141</v>
      </c>
      <c r="S58" s="245">
        <f t="shared" si="12"/>
        <v>-153048.18131178</v>
      </c>
    </row>
    <row r="59" spans="1:17" ht="15.75">
      <c r="A59" s="115" t="s">
        <v>137</v>
      </c>
      <c r="B59" s="104">
        <v>-25030</v>
      </c>
      <c r="C59" s="92"/>
      <c r="D59" s="106">
        <v>0</v>
      </c>
      <c r="E59" s="106"/>
      <c r="F59" s="106"/>
      <c r="G59" s="101">
        <f t="shared" si="16"/>
        <v>0</v>
      </c>
      <c r="I59" s="77"/>
      <c r="J59" s="24"/>
      <c r="K59" s="24"/>
      <c r="L59" s="193">
        <f>I59+J59</f>
        <v>0</v>
      </c>
      <c r="M59" s="24"/>
      <c r="N59" s="24"/>
      <c r="Q59" s="245">
        <f t="shared" si="11"/>
        <v>0</v>
      </c>
    </row>
    <row r="60" spans="1:19" ht="15.75">
      <c r="A60" s="116" t="s">
        <v>56</v>
      </c>
      <c r="B60" s="105">
        <v>0</v>
      </c>
      <c r="C60" s="92">
        <f>'[16]Sheet1'!$B$19</f>
        <v>-171298.55130663</v>
      </c>
      <c r="D60" s="106">
        <f>'[11]Sheet1'!$C$18</f>
        <v>30599.427689600016</v>
      </c>
      <c r="E60" s="106">
        <f>'[1]Sheet1'!$D$23</f>
        <v>11223.926211000002</v>
      </c>
      <c r="F60" s="106">
        <f>'[15]Sheet1'!$D$20</f>
        <v>-45690.24748500001</v>
      </c>
      <c r="G60" s="101">
        <f t="shared" si="15"/>
        <v>-186389.37110202998</v>
      </c>
      <c r="H60" s="186">
        <f>'[15]Sheet1'!$F$20</f>
        <v>49836.382820670005</v>
      </c>
      <c r="I60" s="193">
        <f>H60+G60</f>
        <v>-136552.98828135998</v>
      </c>
      <c r="J60" s="205">
        <f>'[15]Sheet1'!$G$20</f>
        <v>90890.98796268001</v>
      </c>
      <c r="K60" s="205">
        <f>'[16]Sheet1'!$H$20</f>
        <v>-69413.48529315</v>
      </c>
      <c r="L60" s="193">
        <f>G60+H60+J60+K60</f>
        <v>-115075.48561182998</v>
      </c>
      <c r="M60" s="191">
        <f>'[22]Sheet1'!$C$20</f>
        <v>-20981.435300800007</v>
      </c>
      <c r="N60" s="193">
        <f>L60+M60</f>
        <v>-136056.92091262998</v>
      </c>
      <c r="O60" s="186">
        <f>'[22]Sheet1'!$D$20</f>
        <v>67762.15533679999</v>
      </c>
      <c r="P60" s="186">
        <f>'[22]Sheet1'!$E$20</f>
        <v>12324.551328999996</v>
      </c>
      <c r="Q60" s="245">
        <f>'[24]report'!$Q$61</f>
        <v>175937.4283162</v>
      </c>
      <c r="R60" s="186">
        <f>'[23]Sheet1'!$G$20</f>
        <v>253506.50426755</v>
      </c>
      <c r="S60" s="245">
        <f t="shared" si="12"/>
        <v>429443.93258375</v>
      </c>
    </row>
    <row r="61" spans="1:19" ht="15.75">
      <c r="A61" s="164" t="s">
        <v>83</v>
      </c>
      <c r="B61" s="92">
        <v>0</v>
      </c>
      <c r="C61" s="92">
        <f>'[15]Sheet1'!$B$20</f>
        <v>60609.091256399995</v>
      </c>
      <c r="D61" s="106">
        <f>'[21]Sheet1'!$C$19</f>
        <v>1246.9132980900008</v>
      </c>
      <c r="E61" s="106">
        <f>'[1]Sheet1'!$D$22</f>
        <v>4813.448718</v>
      </c>
      <c r="F61" s="106">
        <f>'[21]Sheet1'!$D$19</f>
        <v>60642.83932657</v>
      </c>
      <c r="G61" s="101">
        <f t="shared" si="15"/>
        <v>122498.84388105999</v>
      </c>
      <c r="H61" s="186">
        <f>'[21]Sheet1'!$F$19</f>
        <v>16959.229841480003</v>
      </c>
      <c r="I61" s="193">
        <f>H61+G61</f>
        <v>139458.07372254</v>
      </c>
      <c r="J61" s="205">
        <f>'[21]Sheet1'!$G$19</f>
        <v>-14544.253879430005</v>
      </c>
      <c r="K61" s="205">
        <f>'[21]Sheet1'!$H$19</f>
        <v>186180.69641234007</v>
      </c>
      <c r="L61" s="193">
        <f>G61+H61+J61+K61</f>
        <v>311094.5162554501</v>
      </c>
      <c r="M61" s="191">
        <f>'[22]Sheet1'!$C$19</f>
        <v>-98887.02442874003</v>
      </c>
      <c r="N61" s="193">
        <f>L61+M61</f>
        <v>212207.49182671006</v>
      </c>
      <c r="O61" s="186">
        <f>'[22]Sheet1'!$D$19</f>
        <v>339.3651143499995</v>
      </c>
      <c r="P61" s="186">
        <f>'[22]Sheet1'!$E$19</f>
        <v>691.0531405799999</v>
      </c>
      <c r="Q61" s="245">
        <f>'[24]report'!$Q$62</f>
        <v>-18668.65908138997</v>
      </c>
      <c r="R61" s="186">
        <f>'[22]Sheet1'!$G$19</f>
        <v>-1671.5221898900004</v>
      </c>
      <c r="S61" s="245">
        <f t="shared" si="12"/>
        <v>-20340.181271279973</v>
      </c>
    </row>
    <row r="62" spans="1:17" ht="15.75" hidden="1">
      <c r="A62" s="116" t="s">
        <v>57</v>
      </c>
      <c r="B62" s="104">
        <v>0</v>
      </c>
      <c r="C62" s="101"/>
      <c r="D62" s="97"/>
      <c r="E62" s="97"/>
      <c r="F62" s="97"/>
      <c r="G62" s="101">
        <f t="shared" si="16"/>
        <v>0</v>
      </c>
      <c r="I62" s="24"/>
      <c r="J62" s="24"/>
      <c r="K62" s="24"/>
      <c r="L62" s="24"/>
      <c r="M62" s="24"/>
      <c r="N62" s="24"/>
      <c r="Q62" s="245">
        <f t="shared" si="11"/>
        <v>0</v>
      </c>
    </row>
    <row r="63" spans="1:17" ht="15.75" hidden="1">
      <c r="A63" s="116" t="s">
        <v>58</v>
      </c>
      <c r="B63" s="104">
        <v>0</v>
      </c>
      <c r="C63" s="101"/>
      <c r="D63" s="97"/>
      <c r="E63" s="97"/>
      <c r="F63" s="97"/>
      <c r="G63" s="101">
        <f t="shared" si="16"/>
        <v>0</v>
      </c>
      <c r="I63" s="24"/>
      <c r="J63" s="24"/>
      <c r="K63" s="24"/>
      <c r="L63" s="24"/>
      <c r="M63" s="24"/>
      <c r="N63" s="24"/>
      <c r="Q63" s="245">
        <f t="shared" si="11"/>
        <v>0</v>
      </c>
    </row>
    <row r="64" spans="1:17" ht="15.75" hidden="1">
      <c r="A64" s="116" t="s">
        <v>59</v>
      </c>
      <c r="B64" s="104">
        <v>0</v>
      </c>
      <c r="C64" s="92">
        <v>0</v>
      </c>
      <c r="D64" s="106">
        <v>0</v>
      </c>
      <c r="E64" s="106">
        <v>0</v>
      </c>
      <c r="F64" s="106"/>
      <c r="G64" s="101">
        <f t="shared" si="16"/>
        <v>0</v>
      </c>
      <c r="I64" s="24"/>
      <c r="J64" s="24"/>
      <c r="K64" s="24"/>
      <c r="L64" s="24"/>
      <c r="M64" s="24"/>
      <c r="N64" s="24"/>
      <c r="Q64" s="245">
        <f t="shared" si="11"/>
        <v>0</v>
      </c>
    </row>
    <row r="65" spans="1:17" ht="15.75">
      <c r="A65" s="116" t="s">
        <v>60</v>
      </c>
      <c r="B65" s="104">
        <v>0</v>
      </c>
      <c r="C65" s="92">
        <v>0</v>
      </c>
      <c r="D65" s="106">
        <v>0</v>
      </c>
      <c r="E65" s="106">
        <v>0</v>
      </c>
      <c r="F65" s="106"/>
      <c r="G65" s="101">
        <f t="shared" si="16"/>
        <v>0</v>
      </c>
      <c r="I65" s="58"/>
      <c r="J65" s="58"/>
      <c r="K65" s="58"/>
      <c r="L65" s="58"/>
      <c r="M65" s="58"/>
      <c r="N65" s="58"/>
      <c r="Q65" s="245">
        <f t="shared" si="11"/>
        <v>0</v>
      </c>
    </row>
    <row r="66" spans="1:19" ht="15.75">
      <c r="A66" s="102" t="s">
        <v>116</v>
      </c>
      <c r="B66" s="109">
        <f>B51+B54+B61+B59+B65</f>
        <v>-344280</v>
      </c>
      <c r="C66" s="96">
        <f aca="true" t="shared" si="17" ref="C66:H66">C51+C54+C60+C62+C63+C64+C65+C61</f>
        <v>-201483.59069104</v>
      </c>
      <c r="D66" s="95">
        <f t="shared" si="17"/>
        <v>4479.344885890021</v>
      </c>
      <c r="E66" s="95">
        <f t="shared" si="17"/>
        <v>5298.99225874</v>
      </c>
      <c r="F66" s="95">
        <f t="shared" si="17"/>
        <v>-20923.813884379997</v>
      </c>
      <c r="G66" s="95">
        <f t="shared" si="17"/>
        <v>-217928.05968952997</v>
      </c>
      <c r="H66" s="95">
        <f t="shared" si="17"/>
        <v>47755.625880930005</v>
      </c>
      <c r="I66" s="95">
        <f>H66+G66</f>
        <v>-170172.43380859995</v>
      </c>
      <c r="J66" s="206">
        <f>J51+J54+J60+J61</f>
        <v>61181.95558678001</v>
      </c>
      <c r="K66" s="206">
        <f>K51+K54+K60+K61</f>
        <v>51811.03296886006</v>
      </c>
      <c r="L66" s="208">
        <f>L51+L54+L60+L61</f>
        <v>-57179.44525295991</v>
      </c>
      <c r="M66" s="109">
        <f>M61+M60+M54+M51</f>
        <v>-130203.46104010002</v>
      </c>
      <c r="N66" s="208">
        <f>N51+N54+N60+N61</f>
        <v>-187382.90629305993</v>
      </c>
      <c r="O66" s="109">
        <f>O61+O60+O54+O51</f>
        <v>58483.95819678999</v>
      </c>
      <c r="P66" s="109">
        <f>P61+P60+P54+P51</f>
        <v>-1833.0970925100046</v>
      </c>
      <c r="Q66" s="206">
        <f t="shared" si="11"/>
        <v>-130732.04518877994</v>
      </c>
      <c r="R66" s="109">
        <f>R61+R60+R54+R51</f>
        <v>242854.44569608997</v>
      </c>
      <c r="S66" s="206">
        <f>Q66+R66</f>
        <v>112122.40050731003</v>
      </c>
    </row>
    <row r="67" spans="1:7" ht="15.75" customHeight="1">
      <c r="A67" s="159"/>
      <c r="B67" s="111"/>
      <c r="C67" s="111"/>
      <c r="D67" s="111"/>
      <c r="E67" s="111"/>
      <c r="F67" s="111"/>
      <c r="G67" s="158"/>
    </row>
    <row r="68" spans="1:19" ht="15.75" customHeight="1">
      <c r="A68" s="102" t="s">
        <v>118</v>
      </c>
      <c r="B68" s="109">
        <f aca="true" t="shared" si="18" ref="B68:R68">B49+B66</f>
        <v>-422078</v>
      </c>
      <c r="C68" s="96">
        <f t="shared" si="18"/>
        <v>-244888.25589674</v>
      </c>
      <c r="D68" s="95">
        <f t="shared" si="18"/>
        <v>-192983.75587381993</v>
      </c>
      <c r="E68" s="95">
        <f t="shared" si="18"/>
        <v>21651.855927799967</v>
      </c>
      <c r="F68" s="95">
        <f t="shared" si="18"/>
        <v>-83900.70557745003</v>
      </c>
      <c r="G68" s="95">
        <f t="shared" si="18"/>
        <v>-521772.7173480098</v>
      </c>
      <c r="H68" s="95">
        <f t="shared" si="18"/>
        <v>16136.545922359961</v>
      </c>
      <c r="I68" s="95">
        <f t="shared" si="18"/>
        <v>-505636.17142565</v>
      </c>
      <c r="J68" s="95">
        <f t="shared" si="18"/>
        <v>26969.97129492002</v>
      </c>
      <c r="K68" s="95">
        <f t="shared" si="18"/>
        <v>78572.12857053001</v>
      </c>
      <c r="L68" s="95">
        <f t="shared" si="18"/>
        <v>-426855.16716187</v>
      </c>
      <c r="M68" s="109">
        <f t="shared" si="18"/>
        <v>101131.84263372008</v>
      </c>
      <c r="N68" s="95">
        <f t="shared" si="18"/>
        <v>-298962.22892647935</v>
      </c>
      <c r="O68" s="109">
        <f t="shared" si="18"/>
        <v>-74299.24728233006</v>
      </c>
      <c r="P68" s="109">
        <f t="shared" si="18"/>
        <v>-94289.68989906</v>
      </c>
      <c r="Q68" s="95">
        <f t="shared" si="18"/>
        <v>-467551.1661078697</v>
      </c>
      <c r="R68" s="109">
        <f t="shared" si="18"/>
        <v>-177026.6341601799</v>
      </c>
      <c r="S68" s="206">
        <f>Q68+R68</f>
        <v>-644577.8002680496</v>
      </c>
    </row>
    <row r="69" spans="1:7" ht="15.75" customHeight="1">
      <c r="A69" s="67"/>
      <c r="B69" s="67"/>
      <c r="C69" s="67"/>
      <c r="D69" s="67"/>
      <c r="E69" s="67"/>
      <c r="F69" s="67"/>
      <c r="G69" s="103"/>
    </row>
    <row r="70" spans="1:7" ht="15.75" customHeight="1">
      <c r="A70" s="268" t="s">
        <v>112</v>
      </c>
      <c r="B70" s="268"/>
      <c r="C70" s="268"/>
      <c r="D70" s="268"/>
      <c r="E70" s="268"/>
      <c r="F70" s="268"/>
      <c r="G70" s="268"/>
    </row>
    <row r="71" spans="1:7" ht="15.75" customHeight="1">
      <c r="A71" s="269" t="s">
        <v>163</v>
      </c>
      <c r="B71" s="269"/>
      <c r="C71" s="65"/>
      <c r="D71" s="65"/>
      <c r="E71" s="65"/>
      <c r="F71" s="65"/>
      <c r="G71" s="66"/>
    </row>
    <row r="72" spans="1:19" ht="64.5" customHeight="1">
      <c r="A72" s="94"/>
      <c r="B72" s="71" t="s">
        <v>108</v>
      </c>
      <c r="C72" s="183"/>
      <c r="D72" s="184"/>
      <c r="E72" s="184"/>
      <c r="F72" s="184" t="s">
        <v>140</v>
      </c>
      <c r="G72" s="183"/>
      <c r="H72" s="190" t="s">
        <v>143</v>
      </c>
      <c r="I72" s="247" t="s">
        <v>143</v>
      </c>
      <c r="J72" s="247"/>
      <c r="K72" s="247"/>
      <c r="L72" s="247"/>
      <c r="M72" s="262" t="s">
        <v>158</v>
      </c>
      <c r="N72" s="263"/>
      <c r="O72" s="263"/>
      <c r="P72" s="264"/>
      <c r="Q72" s="266" t="s">
        <v>165</v>
      </c>
      <c r="R72" s="263"/>
      <c r="S72" s="264"/>
    </row>
    <row r="73" spans="1:19" ht="29.25" customHeight="1">
      <c r="A73" s="72"/>
      <c r="B73" s="73" t="s">
        <v>138</v>
      </c>
      <c r="C73" s="74">
        <v>42370</v>
      </c>
      <c r="D73" s="75">
        <v>42401</v>
      </c>
      <c r="E73" s="75">
        <v>40238</v>
      </c>
      <c r="F73" s="75">
        <v>42430</v>
      </c>
      <c r="G73" s="76" t="s">
        <v>141</v>
      </c>
      <c r="H73" s="188" t="s">
        <v>142</v>
      </c>
      <c r="I73" s="189" t="s">
        <v>144</v>
      </c>
      <c r="J73" s="200">
        <v>42506</v>
      </c>
      <c r="K73" s="204">
        <v>42537</v>
      </c>
      <c r="L73" s="102" t="s">
        <v>147</v>
      </c>
      <c r="M73" s="227" t="s">
        <v>148</v>
      </c>
      <c r="N73" s="228" t="s">
        <v>149</v>
      </c>
      <c r="O73" s="227" t="s">
        <v>152</v>
      </c>
      <c r="P73" s="238" t="s">
        <v>155</v>
      </c>
      <c r="Q73" s="243" t="s">
        <v>161</v>
      </c>
      <c r="R73" s="244" t="s">
        <v>156</v>
      </c>
      <c r="S73" s="156" t="s">
        <v>164</v>
      </c>
    </row>
    <row r="74" spans="1:19" ht="15.75" customHeight="1">
      <c r="A74" s="70"/>
      <c r="B74" s="153" t="s">
        <v>27</v>
      </c>
      <c r="C74" s="79" t="s">
        <v>27</v>
      </c>
      <c r="D74" s="118" t="s">
        <v>27</v>
      </c>
      <c r="E74" s="118" t="s">
        <v>27</v>
      </c>
      <c r="F74" s="118"/>
      <c r="G74" s="166" t="s">
        <v>27</v>
      </c>
      <c r="H74" s="166" t="s">
        <v>27</v>
      </c>
      <c r="I74" s="118" t="s">
        <v>27</v>
      </c>
      <c r="J74" s="118" t="s">
        <v>27</v>
      </c>
      <c r="K74" s="118" t="s">
        <v>27</v>
      </c>
      <c r="L74" s="118" t="s">
        <v>27</v>
      </c>
      <c r="M74" s="153" t="s">
        <v>27</v>
      </c>
      <c r="N74" s="153" t="s">
        <v>27</v>
      </c>
      <c r="O74" s="153" t="s">
        <v>27</v>
      </c>
      <c r="P74" s="153" t="s">
        <v>27</v>
      </c>
      <c r="Q74" s="153" t="s">
        <v>27</v>
      </c>
      <c r="R74" s="153" t="s">
        <v>27</v>
      </c>
      <c r="S74" s="153" t="s">
        <v>27</v>
      </c>
    </row>
    <row r="75" spans="1:14" ht="15.75" customHeight="1">
      <c r="A75" s="77" t="s">
        <v>61</v>
      </c>
      <c r="B75" s="77"/>
      <c r="C75" s="169"/>
      <c r="D75" s="67"/>
      <c r="E75" s="67"/>
      <c r="F75" s="67"/>
      <c r="G75" s="170"/>
      <c r="J75" s="24"/>
      <c r="K75" s="24"/>
      <c r="L75" s="50"/>
      <c r="M75" s="24"/>
      <c r="N75" s="24"/>
    </row>
    <row r="76" spans="1:19" ht="15">
      <c r="A76" s="77" t="s">
        <v>62</v>
      </c>
      <c r="B76" s="105">
        <v>0</v>
      </c>
      <c r="C76" s="105">
        <f>'[14]Sheet1'!$B$29+'[14]Sheet1'!$B$30</f>
        <v>2980.90328769</v>
      </c>
      <c r="D76" s="106">
        <f>'[11]Sheet1'!$C$27+'[11]Sheet1'!$C$28</f>
        <v>64271.85540104</v>
      </c>
      <c r="E76" s="106">
        <f>'[1]Sheet1'!$D$32+'[1]Sheet1'!$D$33</f>
        <v>-8149.201295000001</v>
      </c>
      <c r="F76" s="106">
        <f>'[13]Sheet1'!$D$27+'[13]Sheet1'!$D$28</f>
        <v>21470.893610019994</v>
      </c>
      <c r="G76" s="92">
        <f>C76+D76+F76</f>
        <v>88723.65229874999</v>
      </c>
      <c r="H76" s="186">
        <f>'[14]Sheet1'!$F$29+'[14]Sheet1'!$F$30</f>
        <v>28200.95109189</v>
      </c>
      <c r="I76" s="187">
        <f>H76+G76</f>
        <v>116924.60339064</v>
      </c>
      <c r="J76" s="191">
        <f>'[21]Sheet1'!$G$29+'[21]Sheet1'!$G$30</f>
        <v>30747.563146570017</v>
      </c>
      <c r="K76" s="191">
        <f>'[15]Sheet1'!$H$29+'[15]Sheet1'!$H$30</f>
        <v>31597.88947922</v>
      </c>
      <c r="L76" s="226">
        <f>G76+H76+J76+K76</f>
        <v>179270.05601643003</v>
      </c>
      <c r="M76" s="191">
        <f>'[19]Sheet1'!$C$29+'[19]Sheet1'!$C$30</f>
        <v>13414.58944151</v>
      </c>
      <c r="N76" s="193">
        <f>L76+M76</f>
        <v>192684.64545794003</v>
      </c>
      <c r="O76" s="186">
        <f>'[22]Sheet1'!$D$29+'[22]Sheet1'!$D$30+'[22]Sheet1'!$O$27</f>
        <v>26841.63795934</v>
      </c>
      <c r="P76" s="186">
        <f>'[22]Sheet1'!$E$29+'[22]Sheet1'!$E$30</f>
        <v>36330.63163524</v>
      </c>
      <c r="Q76" s="245">
        <f>L76+M76+O76+P76</f>
        <v>255856.91505252005</v>
      </c>
      <c r="R76" s="186">
        <f>'[22]Sheet1'!$G$29+'[22]Sheet1'!$G$30</f>
        <v>37103.96212536</v>
      </c>
      <c r="S76" s="245">
        <f>Q76+R76</f>
        <v>292960.87717788003</v>
      </c>
    </row>
    <row r="77" spans="1:19" ht="15">
      <c r="A77" s="77" t="s">
        <v>105</v>
      </c>
      <c r="B77" s="105">
        <v>738000</v>
      </c>
      <c r="C77" s="105">
        <f>'[14]Sheet1'!$B$27</f>
        <v>27504.34754309999</v>
      </c>
      <c r="D77" s="106">
        <f>'[15]Sheet1'!$C$27</f>
        <v>-1914.5924231100269</v>
      </c>
      <c r="E77" s="106">
        <v>0</v>
      </c>
      <c r="F77" s="106">
        <f>'[13]Sheet1'!$D$25</f>
        <v>-49059.57222715</v>
      </c>
      <c r="G77" s="92">
        <f>C77+D77+F77</f>
        <v>-23469.817107160034</v>
      </c>
      <c r="H77" s="186">
        <f>'[14]Sheet1'!$F$27</f>
        <v>224.26142053000163</v>
      </c>
      <c r="I77" s="187">
        <f>H77+G77</f>
        <v>-23245.555686630032</v>
      </c>
      <c r="J77" s="191">
        <f>'[15]Sheet1'!$G$27</f>
        <v>41164.78373431</v>
      </c>
      <c r="K77" s="191">
        <f>'[15]Sheet1'!$H$27</f>
        <v>-6869.932355679993</v>
      </c>
      <c r="L77" s="226">
        <f>G77+H77+J77+K77</f>
        <v>11049.295691999978</v>
      </c>
      <c r="M77" s="191">
        <f>'[17]Sheet1'!$C$27</f>
        <v>41638.132999569985</v>
      </c>
      <c r="N77" s="193">
        <f>L77+M77</f>
        <v>52687.42869156996</v>
      </c>
      <c r="O77" s="186">
        <f>'[22]Sheet1'!$D$27</f>
        <v>33466.977708030005</v>
      </c>
      <c r="P77" s="186">
        <f>'[22]Sheet1'!$E$27</f>
        <v>37552.23597264001</v>
      </c>
      <c r="Q77" s="245">
        <f>L77+M77+O77+P77</f>
        <v>123706.64237223999</v>
      </c>
      <c r="R77" s="186">
        <f>'[22]Sheet1'!$G$27</f>
        <v>2174.080601460016</v>
      </c>
      <c r="S77" s="245">
        <f>Q77+R77</f>
        <v>125880.7229737</v>
      </c>
    </row>
    <row r="78" spans="1:19" ht="15">
      <c r="A78" s="100" t="s">
        <v>63</v>
      </c>
      <c r="B78" s="105">
        <v>0</v>
      </c>
      <c r="C78" s="105">
        <f>'[7]Sheet1'!$B$30</f>
        <v>0</v>
      </c>
      <c r="D78" s="106">
        <v>0</v>
      </c>
      <c r="E78" s="106">
        <v>0</v>
      </c>
      <c r="F78" s="106"/>
      <c r="G78" s="92">
        <f aca="true" t="shared" si="19" ref="G78:G83">C78+D78</f>
        <v>0</v>
      </c>
      <c r="I78" s="65"/>
      <c r="J78" s="24"/>
      <c r="K78" s="24"/>
      <c r="L78" s="169"/>
      <c r="M78" s="24"/>
      <c r="N78" s="24"/>
      <c r="Q78" s="248"/>
      <c r="S78" s="245">
        <f>Q78+R78</f>
        <v>0</v>
      </c>
    </row>
    <row r="79" spans="1:19" ht="15">
      <c r="A79" s="100" t="s">
        <v>64</v>
      </c>
      <c r="B79" s="105">
        <v>-158963</v>
      </c>
      <c r="C79" s="105">
        <f>'[12]report'!$C$80</f>
        <v>-952.4184384</v>
      </c>
      <c r="D79" s="106">
        <f>'[14]Sheet1'!$C$28</f>
        <v>-856.70562755</v>
      </c>
      <c r="E79" s="106">
        <f>'[1]Sheet1'!$D$31</f>
        <v>-1134.72357842</v>
      </c>
      <c r="F79" s="106">
        <f>'[18]Sheet1'!$D$28</f>
        <v>-10957.212633219999</v>
      </c>
      <c r="G79" s="92">
        <f>C79+D79+F79</f>
        <v>-12766.336699169999</v>
      </c>
      <c r="H79" s="186">
        <f>'[15]Sheet1'!$F$28</f>
        <v>-16851.55024593</v>
      </c>
      <c r="I79" s="187">
        <f>H79+G79</f>
        <v>-29617.8869451</v>
      </c>
      <c r="J79" s="191">
        <f>'[15]Sheet1'!$G$28</f>
        <v>-5833.554329340001</v>
      </c>
      <c r="K79" s="191">
        <f>'[18]Sheet1'!$H$28</f>
        <v>-39523.04573803</v>
      </c>
      <c r="L79" s="226">
        <f>G79+H79+J79+K79</f>
        <v>-74974.48701247</v>
      </c>
      <c r="M79" s="191">
        <f>'[19]Sheet1'!$C$28</f>
        <v>-1486.96410393</v>
      </c>
      <c r="N79" s="193">
        <f>L79+M79</f>
        <v>-76461.4511164</v>
      </c>
      <c r="O79" s="186">
        <f>'[22]Sheet1'!$D$28</f>
        <v>-2187.5461425900003</v>
      </c>
      <c r="P79" s="186">
        <f>'[23]Sheet1'!$E$28</f>
        <v>-8889.59839598</v>
      </c>
      <c r="Q79" s="245">
        <f>L79+M79+O79+P79</f>
        <v>-87538.59565497</v>
      </c>
      <c r="S79" s="245">
        <f>Q79+R79</f>
        <v>-87538.59565497</v>
      </c>
    </row>
    <row r="80" spans="1:14" ht="15">
      <c r="A80" s="100" t="s">
        <v>133</v>
      </c>
      <c r="B80" s="162">
        <v>0</v>
      </c>
      <c r="C80" s="105">
        <v>0</v>
      </c>
      <c r="D80" s="106">
        <v>0</v>
      </c>
      <c r="E80" s="106">
        <v>0</v>
      </c>
      <c r="F80" s="106"/>
      <c r="G80" s="92">
        <f t="shared" si="19"/>
        <v>0</v>
      </c>
      <c r="J80" s="24"/>
      <c r="K80" s="24"/>
      <c r="L80" s="50"/>
      <c r="M80" s="24"/>
      <c r="N80" s="24"/>
    </row>
    <row r="81" spans="1:14" ht="15">
      <c r="A81" s="100" t="s">
        <v>106</v>
      </c>
      <c r="B81" s="162">
        <v>0</v>
      </c>
      <c r="C81" s="105">
        <v>0</v>
      </c>
      <c r="D81" s="106">
        <v>0</v>
      </c>
      <c r="E81" s="106">
        <v>0</v>
      </c>
      <c r="F81" s="106"/>
      <c r="G81" s="92">
        <f t="shared" si="19"/>
        <v>0</v>
      </c>
      <c r="J81" s="203"/>
      <c r="K81" s="203"/>
      <c r="L81" s="50"/>
      <c r="M81" s="24"/>
      <c r="N81" s="24"/>
    </row>
    <row r="82" spans="1:14" ht="15">
      <c r="A82" s="100" t="s">
        <v>132</v>
      </c>
      <c r="B82" s="162">
        <v>0</v>
      </c>
      <c r="C82" s="105">
        <v>0</v>
      </c>
      <c r="D82" s="106">
        <v>0</v>
      </c>
      <c r="E82" s="106">
        <v>0</v>
      </c>
      <c r="F82" s="106"/>
      <c r="G82" s="92">
        <f t="shared" si="19"/>
        <v>0</v>
      </c>
      <c r="J82" s="24"/>
      <c r="K82" s="24"/>
      <c r="L82" s="50"/>
      <c r="M82" s="24"/>
      <c r="N82" s="24"/>
    </row>
    <row r="83" spans="1:14" ht="15">
      <c r="A83" s="154" t="s">
        <v>124</v>
      </c>
      <c r="B83" s="155">
        <v>0</v>
      </c>
      <c r="C83" s="105">
        <v>0</v>
      </c>
      <c r="D83" s="106">
        <f>'[1]Sheet1'!$C$33</f>
        <v>0</v>
      </c>
      <c r="E83" s="106">
        <f>'[1]Sheet1'!$D$34</f>
        <v>-570</v>
      </c>
      <c r="F83" s="106"/>
      <c r="G83" s="92">
        <f t="shared" si="19"/>
        <v>0</v>
      </c>
      <c r="J83" s="58"/>
      <c r="K83" s="58"/>
      <c r="L83" s="202"/>
      <c r="M83" s="58"/>
      <c r="N83" s="58"/>
    </row>
    <row r="84" spans="1:7" ht="15.75" hidden="1">
      <c r="A84" s="119" t="s">
        <v>98</v>
      </c>
      <c r="B84" s="105"/>
      <c r="C84" s="120"/>
      <c r="D84" s="121"/>
      <c r="E84" s="121"/>
      <c r="F84" s="121"/>
      <c r="G84" s="117"/>
    </row>
    <row r="85" spans="1:19" ht="15.75">
      <c r="A85" s="102" t="s">
        <v>65</v>
      </c>
      <c r="B85" s="109">
        <f aca="true" t="shared" si="20" ref="B85:R85">SUM(B76:B83)</f>
        <v>579037</v>
      </c>
      <c r="C85" s="96">
        <f t="shared" si="20"/>
        <v>29532.83239238999</v>
      </c>
      <c r="D85" s="95">
        <f t="shared" si="20"/>
        <v>61500.55735037997</v>
      </c>
      <c r="E85" s="95">
        <f t="shared" si="20"/>
        <v>-9853.924873420001</v>
      </c>
      <c r="F85" s="95">
        <f t="shared" si="20"/>
        <v>-38545.89125035</v>
      </c>
      <c r="G85" s="95">
        <f t="shared" si="20"/>
        <v>52487.49849241995</v>
      </c>
      <c r="H85" s="95">
        <f t="shared" si="20"/>
        <v>11573.662266490002</v>
      </c>
      <c r="I85" s="95">
        <f t="shared" si="20"/>
        <v>64061.160758909966</v>
      </c>
      <c r="J85" s="95">
        <f t="shared" si="20"/>
        <v>66078.79255154003</v>
      </c>
      <c r="K85" s="95">
        <f t="shared" si="20"/>
        <v>-14795.088614489992</v>
      </c>
      <c r="L85" s="95">
        <f>SUM(L76:L83)</f>
        <v>115344.86469596002</v>
      </c>
      <c r="M85" s="109">
        <f t="shared" si="20"/>
        <v>53565.758337149986</v>
      </c>
      <c r="N85" s="95">
        <f>SUM(N76:N83)</f>
        <v>168910.62303311</v>
      </c>
      <c r="O85" s="109">
        <f t="shared" si="20"/>
        <v>58121.06952478</v>
      </c>
      <c r="P85" s="109">
        <f t="shared" si="20"/>
        <v>64993.269211900006</v>
      </c>
      <c r="Q85" s="206">
        <f>L85+M85+O85+P85</f>
        <v>292024.96176979</v>
      </c>
      <c r="R85" s="109">
        <f t="shared" si="20"/>
        <v>39278.042726820015</v>
      </c>
      <c r="S85" s="206">
        <f>Q85+R85</f>
        <v>331303.00449661</v>
      </c>
    </row>
    <row r="86" spans="1:9" ht="15.75" customHeight="1">
      <c r="A86" s="160"/>
      <c r="B86" s="111"/>
      <c r="C86" s="111"/>
      <c r="D86" s="111"/>
      <c r="E86" s="111"/>
      <c r="F86" s="111"/>
      <c r="G86" s="161"/>
      <c r="I86" s="51"/>
    </row>
    <row r="87" spans="1:19" ht="32.25" thickBot="1">
      <c r="A87" s="156" t="s">
        <v>119</v>
      </c>
      <c r="B87" s="109">
        <f aca="true" t="shared" si="21" ref="B87:R87">B68+B85</f>
        <v>156959</v>
      </c>
      <c r="C87" s="96">
        <f t="shared" si="21"/>
        <v>-215355.42350435</v>
      </c>
      <c r="D87" s="95">
        <f t="shared" si="21"/>
        <v>-131483.19852343996</v>
      </c>
      <c r="E87" s="95">
        <f t="shared" si="21"/>
        <v>11797.931054379966</v>
      </c>
      <c r="F87" s="95">
        <f t="shared" si="21"/>
        <v>-122446.59682780004</v>
      </c>
      <c r="G87" s="95">
        <f t="shared" si="21"/>
        <v>-469285.21885558986</v>
      </c>
      <c r="H87" s="95">
        <f t="shared" si="21"/>
        <v>27710.208188849963</v>
      </c>
      <c r="I87" s="95">
        <f t="shared" si="21"/>
        <v>-441575.01066674007</v>
      </c>
      <c r="J87" s="95">
        <f t="shared" si="21"/>
        <v>93048.76384646005</v>
      </c>
      <c r="K87" s="95">
        <f t="shared" si="21"/>
        <v>63777.03995604002</v>
      </c>
      <c r="L87" s="220">
        <f>G87+H87+J87+K87</f>
        <v>-284749.2068642398</v>
      </c>
      <c r="M87" s="109">
        <f t="shared" si="21"/>
        <v>154697.60097087006</v>
      </c>
      <c r="N87" s="109">
        <f t="shared" si="21"/>
        <v>-130051.60589336936</v>
      </c>
      <c r="O87" s="109">
        <f t="shared" si="21"/>
        <v>-16178.17775755006</v>
      </c>
      <c r="P87" s="109">
        <f t="shared" si="21"/>
        <v>-29296.420687159996</v>
      </c>
      <c r="Q87" s="206">
        <f>L87+M87+O87+P87</f>
        <v>-175526.2043380798</v>
      </c>
      <c r="R87" s="109">
        <f t="shared" si="21"/>
        <v>-137748.5914333599</v>
      </c>
      <c r="S87" s="206">
        <f>Q87+R87</f>
        <v>-313274.7957714397</v>
      </c>
    </row>
    <row r="88" spans="2:7" ht="12.75" hidden="1">
      <c r="B88" s="33"/>
      <c r="C88" s="38">
        <v>15139</v>
      </c>
      <c r="D88" s="38">
        <v>-25333</v>
      </c>
      <c r="E88" s="38">
        <v>-730</v>
      </c>
      <c r="F88" s="38"/>
      <c r="G88" s="39">
        <v>-10925</v>
      </c>
    </row>
    <row r="89" spans="2:7" ht="12.75" hidden="1">
      <c r="B89" s="33"/>
      <c r="C89" s="38">
        <f>C88-C87</f>
        <v>230494.42350435</v>
      </c>
      <c r="D89" s="38">
        <f>D87-D88</f>
        <v>-106150.19852343996</v>
      </c>
      <c r="E89" s="38">
        <f>E87-E88</f>
        <v>12527.931054379966</v>
      </c>
      <c r="F89" s="38"/>
      <c r="G89" s="39">
        <f>G87-G88</f>
        <v>-458360.21885558986</v>
      </c>
    </row>
    <row r="90" spans="1:7" ht="12.75" hidden="1">
      <c r="A90" s="63" t="s">
        <v>99</v>
      </c>
      <c r="B90" s="34"/>
      <c r="C90" s="38">
        <v>0</v>
      </c>
      <c r="D90" s="38">
        <f>C91</f>
        <v>-215355.42350435</v>
      </c>
      <c r="E90" s="38">
        <f>D91</f>
        <v>-346838.62202778994</v>
      </c>
      <c r="F90" s="38"/>
      <c r="G90" s="39"/>
    </row>
    <row r="91" spans="1:7" ht="12.75" hidden="1">
      <c r="A91" s="63" t="s">
        <v>99</v>
      </c>
      <c r="B91" s="35"/>
      <c r="C91" s="36">
        <f>C87+C90</f>
        <v>-215355.42350435</v>
      </c>
      <c r="D91" s="36">
        <f>D87+D90</f>
        <v>-346838.62202778994</v>
      </c>
      <c r="E91" s="36">
        <f>E87+E90</f>
        <v>-335040.69097341</v>
      </c>
      <c r="F91" s="36"/>
      <c r="G91" s="37"/>
    </row>
    <row r="92" spans="1:7" s="4" customFormat="1" ht="12.75" hidden="1">
      <c r="A92" s="28"/>
      <c r="C92" s="18">
        <f>C31-C47+C66+C85</f>
        <v>-215355.42350435</v>
      </c>
      <c r="D92" s="18">
        <f>D31-D47+D66+D85</f>
        <v>-131483.19852343996</v>
      </c>
      <c r="E92" s="18">
        <f>E31-E47+E66+E85</f>
        <v>11797.931054379966</v>
      </c>
      <c r="F92" s="18"/>
      <c r="G92" s="18">
        <f>G31-G47+G66+G85</f>
        <v>-469285.21885558986</v>
      </c>
    </row>
    <row r="93" spans="3:7" ht="12.75" hidden="1">
      <c r="C93" s="10">
        <f>C87-C92</f>
        <v>0</v>
      </c>
      <c r="D93" s="10">
        <f>D87-D92</f>
        <v>0</v>
      </c>
      <c r="E93" s="10">
        <f>E87-E92</f>
        <v>0</v>
      </c>
      <c r="F93" s="10"/>
      <c r="G93" s="10">
        <f>G87-G92</f>
        <v>0</v>
      </c>
    </row>
    <row r="94" spans="1:7" ht="12.75" hidden="1">
      <c r="A94" s="61" t="s">
        <v>29</v>
      </c>
      <c r="B94" s="19">
        <f>G13</f>
        <v>223477.50341286</v>
      </c>
      <c r="D94" s="1" t="s">
        <v>71</v>
      </c>
      <c r="G94" s="14"/>
    </row>
    <row r="95" spans="1:7" ht="12.75" hidden="1">
      <c r="A95" s="61" t="s">
        <v>30</v>
      </c>
      <c r="B95" s="19">
        <f>G14</f>
        <v>121482.65813389001</v>
      </c>
      <c r="D95" t="s">
        <v>66</v>
      </c>
      <c r="E95" s="16">
        <f>C51*-1</f>
        <v>9523.595510480001</v>
      </c>
      <c r="F95" s="16"/>
      <c r="G95" s="25" t="s">
        <v>77</v>
      </c>
    </row>
    <row r="96" spans="1:7" ht="12.75" hidden="1">
      <c r="A96" s="61" t="s">
        <v>31</v>
      </c>
      <c r="B96" s="19">
        <f>G16</f>
        <v>8946.81900997</v>
      </c>
      <c r="D96" t="s">
        <v>68</v>
      </c>
      <c r="E96" s="16">
        <f>D51*-1</f>
        <v>12469.750863899997</v>
      </c>
      <c r="F96" s="16"/>
      <c r="G96" s="26" t="s">
        <v>78</v>
      </c>
    </row>
    <row r="97" spans="1:7" ht="12.75" hidden="1">
      <c r="A97" s="61" t="s">
        <v>32</v>
      </c>
      <c r="B97" s="19">
        <f>G17</f>
        <v>16980.86554168</v>
      </c>
      <c r="D97" t="s">
        <v>67</v>
      </c>
      <c r="E97" s="16">
        <f>E51*-1</f>
        <v>7858.9530005100005</v>
      </c>
      <c r="F97" s="16"/>
      <c r="G97" s="27" t="s">
        <v>79</v>
      </c>
    </row>
    <row r="98" spans="1:7" ht="12.75" hidden="1">
      <c r="A98" s="61" t="s">
        <v>33</v>
      </c>
      <c r="B98" s="19">
        <f>G18</f>
        <v>37734.317754430005</v>
      </c>
      <c r="E98" s="17"/>
      <c r="F98" s="17"/>
      <c r="G98" s="28"/>
    </row>
    <row r="99" spans="1:7" ht="12.75" hidden="1">
      <c r="A99" s="61" t="s">
        <v>34</v>
      </c>
      <c r="B99" s="19">
        <f>G19</f>
        <v>50056.431041790005</v>
      </c>
      <c r="D99" s="1" t="s">
        <v>70</v>
      </c>
      <c r="G99" s="28"/>
    </row>
    <row r="100" spans="4:7" ht="12.75" hidden="1">
      <c r="D100" s="4" t="s">
        <v>69</v>
      </c>
      <c r="E100" s="18">
        <f>C47-C44</f>
        <v>243058.78380391005</v>
      </c>
      <c r="F100" s="18"/>
      <c r="G100" s="30" t="s">
        <v>77</v>
      </c>
    </row>
    <row r="101" spans="4:7" ht="12.75" hidden="1">
      <c r="D101" s="4" t="s">
        <v>68</v>
      </c>
      <c r="E101" s="18">
        <f>D47-D44</f>
        <v>398386.34507341</v>
      </c>
      <c r="F101" s="18"/>
      <c r="G101" s="18" t="s">
        <v>78</v>
      </c>
    </row>
    <row r="102" spans="4:7" ht="12.75" hidden="1">
      <c r="D102" s="4" t="s">
        <v>67</v>
      </c>
      <c r="E102" s="18">
        <f>E47-E44</f>
        <v>132841.94782701004</v>
      </c>
      <c r="F102" s="18"/>
      <c r="G102" s="31" t="s">
        <v>79</v>
      </c>
    </row>
    <row r="103" spans="1:2" ht="12.75" hidden="1">
      <c r="A103" s="61" t="s">
        <v>40</v>
      </c>
      <c r="B103" s="29">
        <f>G40</f>
        <v>460271.01857073</v>
      </c>
    </row>
    <row r="104" spans="1:2" ht="12.75" hidden="1">
      <c r="A104" s="61" t="s">
        <v>41</v>
      </c>
      <c r="B104" s="29">
        <f aca="true" t="shared" si="22" ref="B104:B109">G41</f>
        <v>311337.81547550997</v>
      </c>
    </row>
    <row r="105" spans="1:4" ht="12.75" hidden="1">
      <c r="A105" s="61" t="s">
        <v>42</v>
      </c>
      <c r="B105" s="29">
        <f t="shared" si="22"/>
        <v>0</v>
      </c>
      <c r="D105" s="1" t="s">
        <v>72</v>
      </c>
    </row>
    <row r="106" spans="1:7" ht="12.75" hidden="1">
      <c r="A106" s="62" t="s">
        <v>43</v>
      </c>
      <c r="B106" s="29">
        <f t="shared" si="22"/>
        <v>0</v>
      </c>
      <c r="D106" s="4" t="str">
        <f>A40</f>
        <v>Wages, Salaries and Employee Benefits</v>
      </c>
      <c r="E106" s="18">
        <f>G40</f>
        <v>460271.01857073</v>
      </c>
      <c r="F106" s="18"/>
      <c r="G106" s="4" t="s">
        <v>40</v>
      </c>
    </row>
    <row r="107" spans="1:7" ht="12.75" hidden="1">
      <c r="A107" s="62" t="s">
        <v>44</v>
      </c>
      <c r="B107" s="29">
        <f t="shared" si="22"/>
        <v>0</v>
      </c>
      <c r="D107" s="4" t="str">
        <f>A41</f>
        <v>Non-Salary, Non-Interest Recurrent Expenditure</v>
      </c>
      <c r="E107" s="18">
        <f>G41</f>
        <v>311337.81547550997</v>
      </c>
      <c r="F107" s="18"/>
      <c r="G107" s="4" t="s">
        <v>41</v>
      </c>
    </row>
    <row r="108" spans="1:7" ht="12.75" hidden="1">
      <c r="A108" s="62" t="s">
        <v>45</v>
      </c>
      <c r="B108" s="29">
        <f t="shared" si="22"/>
        <v>0</v>
      </c>
      <c r="D108" s="4" t="str">
        <f>A46</f>
        <v>Domestic Development Expenditures</v>
      </c>
      <c r="E108" s="18">
        <f>G46</f>
        <v>155855.10918115</v>
      </c>
      <c r="F108" s="18"/>
      <c r="G108" s="4" t="s">
        <v>46</v>
      </c>
    </row>
    <row r="109" spans="1:7" ht="12.75" hidden="1">
      <c r="A109" s="61" t="s">
        <v>46</v>
      </c>
      <c r="B109" s="29">
        <f t="shared" si="22"/>
        <v>155855.10918115</v>
      </c>
      <c r="D109" s="4" t="str">
        <f>A51</f>
        <v>Finance Costs</v>
      </c>
      <c r="E109" s="18">
        <f>G51*-1</f>
        <v>34117.29344124</v>
      </c>
      <c r="F109" s="18"/>
      <c r="G109" s="4" t="s">
        <v>48</v>
      </c>
    </row>
    <row r="110" spans="2:7" ht="12.75" hidden="1">
      <c r="B110" s="4"/>
      <c r="D110" s="4" t="str">
        <f>A60</f>
        <v>Cheques payable</v>
      </c>
      <c r="E110" s="18">
        <f>G60</f>
        <v>-186389.37110202998</v>
      </c>
      <c r="F110" s="18"/>
      <c r="G110" s="4" t="s">
        <v>56</v>
      </c>
    </row>
    <row r="111" spans="1:7" ht="12.75" hidden="1">
      <c r="A111" s="64" t="s">
        <v>66</v>
      </c>
      <c r="B111" s="19">
        <f>C87</f>
        <v>-215355.42350435</v>
      </c>
      <c r="C111" s="9"/>
      <c r="D111" s="4" t="str">
        <f>A62</f>
        <v>Deductions unpaid and unclaimed</v>
      </c>
      <c r="E111" s="18">
        <f>G62</f>
        <v>0</v>
      </c>
      <c r="F111" s="18"/>
      <c r="G111" s="4" t="s">
        <v>57</v>
      </c>
    </row>
    <row r="112" spans="1:7" ht="12.75" hidden="1">
      <c r="A112" s="64" t="s">
        <v>68</v>
      </c>
      <c r="B112" s="19">
        <f>D87</f>
        <v>-131483.19852343996</v>
      </c>
      <c r="D112" s="4" t="str">
        <f>A63</f>
        <v>Return cheques and advances payment</v>
      </c>
      <c r="E112" s="18">
        <f>G63</f>
        <v>0</v>
      </c>
      <c r="F112" s="18"/>
      <c r="G112" s="4" t="s">
        <v>58</v>
      </c>
    </row>
    <row r="113" spans="1:7" ht="12.75" hidden="1">
      <c r="A113" s="64" t="s">
        <v>67</v>
      </c>
      <c r="B113" s="19">
        <f>E87</f>
        <v>11797.931054379966</v>
      </c>
      <c r="D113" s="4" t="str">
        <f>A64</f>
        <v>Subsidies</v>
      </c>
      <c r="E113" s="18">
        <f>G64</f>
        <v>0</v>
      </c>
      <c r="F113" s="18"/>
      <c r="G113" s="4" t="s">
        <v>59</v>
      </c>
    </row>
    <row r="114" ht="0.75" customHeight="1" hidden="1"/>
    <row r="115" ht="12.75" hidden="1"/>
    <row r="116" spans="4:7" ht="12.75" hidden="1">
      <c r="D116" t="s">
        <v>73</v>
      </c>
      <c r="G116"/>
    </row>
    <row r="117" spans="4:7" ht="12.75" hidden="1">
      <c r="D117" t="s">
        <v>66</v>
      </c>
      <c r="E117">
        <v>32511</v>
      </c>
      <c r="G117" t="s">
        <v>80</v>
      </c>
    </row>
    <row r="118" spans="4:7" ht="12.75" hidden="1">
      <c r="D118" t="s">
        <v>68</v>
      </c>
      <c r="E118">
        <v>35661</v>
      </c>
      <c r="G118" t="s">
        <v>81</v>
      </c>
    </row>
    <row r="119" spans="4:7" ht="12.75" hidden="1">
      <c r="D119" t="s">
        <v>67</v>
      </c>
      <c r="E119">
        <v>48455</v>
      </c>
      <c r="G119" t="s">
        <v>82</v>
      </c>
    </row>
    <row r="120" ht="12.75" hidden="1"/>
    <row r="121" ht="12.75" hidden="1">
      <c r="D121" t="s">
        <v>74</v>
      </c>
    </row>
    <row r="122" spans="4:7" ht="12.75" hidden="1">
      <c r="D122" t="s">
        <v>69</v>
      </c>
      <c r="E122">
        <v>1007</v>
      </c>
      <c r="G122" t="s">
        <v>80</v>
      </c>
    </row>
    <row r="123" spans="4:7" ht="12.75" hidden="1">
      <c r="D123" t="s">
        <v>75</v>
      </c>
      <c r="E123">
        <v>950</v>
      </c>
      <c r="G123" t="s">
        <v>81</v>
      </c>
    </row>
    <row r="124" spans="4:7" ht="12.75" hidden="1">
      <c r="D124" t="s">
        <v>76</v>
      </c>
      <c r="E124">
        <v>284</v>
      </c>
      <c r="G124" t="s">
        <v>82</v>
      </c>
    </row>
    <row r="127" ht="12.75">
      <c r="B127" t="s">
        <v>125</v>
      </c>
    </row>
    <row r="129" spans="1:203" ht="18">
      <c r="A129" s="135" t="s">
        <v>109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5"/>
      <c r="CO129" s="135"/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5"/>
      <c r="DF129" s="135"/>
      <c r="DG129" s="135"/>
      <c r="DH129" s="135"/>
      <c r="DI129" s="135"/>
      <c r="DJ129" s="135"/>
      <c r="DK129" s="135"/>
      <c r="DL129" s="135"/>
      <c r="DM129" s="135"/>
      <c r="DN129" s="135"/>
      <c r="DO129" s="135"/>
      <c r="DP129" s="135"/>
      <c r="DQ129" s="135"/>
      <c r="DR129" s="135"/>
      <c r="DS129" s="135"/>
      <c r="DT129" s="135"/>
      <c r="DU129" s="135"/>
      <c r="DV129" s="135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5"/>
      <c r="EL129" s="135"/>
      <c r="EM129" s="135"/>
      <c r="EN129" s="135"/>
      <c r="EO129" s="135"/>
      <c r="EP129" s="135"/>
      <c r="EQ129" s="135"/>
      <c r="ER129" s="135"/>
      <c r="ES129" s="135"/>
      <c r="ET129" s="135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5"/>
      <c r="FK129" s="135"/>
      <c r="FL129" s="135"/>
      <c r="FM129" s="135"/>
      <c r="FN129" s="135"/>
      <c r="FO129" s="135"/>
      <c r="FP129" s="135"/>
      <c r="FQ129" s="135"/>
      <c r="FR129" s="135"/>
      <c r="FS129" s="135"/>
      <c r="FT129" s="135"/>
      <c r="FU129" s="135"/>
      <c r="FV129" s="135"/>
      <c r="FW129" s="135"/>
      <c r="FX129" s="135"/>
      <c r="FY129" s="135"/>
      <c r="FZ129" s="135"/>
      <c r="GA129" s="135"/>
      <c r="GB129" s="135"/>
      <c r="GC129" s="135"/>
      <c r="GD129" s="135"/>
      <c r="GE129" s="135"/>
      <c r="GF129" s="135"/>
      <c r="GG129" s="135"/>
      <c r="GH129" s="135"/>
      <c r="GI129" s="135"/>
      <c r="GJ129" s="135"/>
      <c r="GK129" s="135"/>
      <c r="GL129" s="135"/>
      <c r="GM129" s="135"/>
      <c r="GN129" s="135"/>
      <c r="GO129" s="135"/>
      <c r="GP129" s="135"/>
      <c r="GQ129" s="135"/>
      <c r="GR129" s="135"/>
      <c r="GS129" s="135"/>
      <c r="GT129" s="135"/>
      <c r="GU129" s="135"/>
    </row>
    <row r="130" spans="1:7" ht="12.75">
      <c r="A130"/>
      <c r="G130"/>
    </row>
    <row r="131" spans="1:203" ht="18">
      <c r="A131" s="139" t="s">
        <v>126</v>
      </c>
      <c r="B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</row>
    <row r="132" spans="1:203" ht="18">
      <c r="A132" s="139" t="s">
        <v>129</v>
      </c>
      <c r="B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</row>
  </sheetData>
  <sheetProtection password="F4C8" sheet="1" formatCells="0" formatColumns="0" formatRows="0" insertColumns="0" insertRows="0" insertHyperlinks="0" deleteColumns="0" deleteRows="0" sort="0" autoFilter="0" pivotTables="0"/>
  <mergeCells count="13">
    <mergeCell ref="A34:B34"/>
    <mergeCell ref="M7:P7"/>
    <mergeCell ref="M35:P35"/>
    <mergeCell ref="M72:P72"/>
    <mergeCell ref="Q7:S7"/>
    <mergeCell ref="Q35:S35"/>
    <mergeCell ref="Q72:S72"/>
    <mergeCell ref="A3:N3"/>
    <mergeCell ref="A70:G70"/>
    <mergeCell ref="A4:G4"/>
    <mergeCell ref="A5:B5"/>
    <mergeCell ref="A33:G33"/>
    <mergeCell ref="A71:B71"/>
  </mergeCells>
  <printOptions/>
  <pageMargins left="0.44" right="0.48" top="1" bottom="1" header="0.5" footer="0.5"/>
  <pageSetup horizontalDpi="600" verticalDpi="600" orientation="portrait" paperSize="9" scale="70" r:id="rId1"/>
  <rowBreaks count="2" manualBreakCount="2">
    <brk id="3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rwilliams</dc:creator>
  <cp:keywords/>
  <dc:description/>
  <cp:lastModifiedBy>MED</cp:lastModifiedBy>
  <cp:lastPrinted>2016-11-30T10:32:51Z</cp:lastPrinted>
  <dcterms:created xsi:type="dcterms:W3CDTF">2006-06-26T10:32:25Z</dcterms:created>
  <dcterms:modified xsi:type="dcterms:W3CDTF">2016-12-05T10:35:57Z</dcterms:modified>
  <cp:category/>
  <cp:version/>
  <cp:contentType/>
  <cp:contentStatus/>
</cp:coreProperties>
</file>